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DNP\"/>
    </mc:Choice>
  </mc:AlternateContent>
  <bookViews>
    <workbookView xWindow="0" yWindow="0" windowWidth="23040" windowHeight="9192" activeTab="2"/>
  </bookViews>
  <sheets>
    <sheet name="Ejecución Agregado" sheetId="4" r:id="rId1"/>
    <sheet name="Inf x Dependencia" sheetId="1" r:id="rId2"/>
    <sheet name="Ejec" sheetId="15" r:id="rId3"/>
    <sheet name="x proyecto" sheetId="3" state="hidden" r:id="rId4"/>
    <sheet name="SGDDT" sheetId="5" r:id="rId5"/>
    <sheet name="SGISE" sheetId="10" r:id="rId6"/>
    <sheet name="SGPDN" sheetId="11" r:id="rId7"/>
    <sheet name="DG" sheetId="14" r:id="rId8"/>
    <sheet name="SG" sheetId="12" r:id="rId9"/>
    <sheet name="depen inversi" sheetId="6" state="hidden" r:id="rId10"/>
    <sheet name="dinamica APR VIGENTE" sheetId="7" state="hidden" r:id="rId11"/>
    <sheet name="dinamica COMPR" sheetId="8" state="hidden" r:id="rId12"/>
    <sheet name="dinamica Oblig" sheetId="9" state="hidden" r:id="rId13"/>
  </sheets>
  <definedNames>
    <definedName name="_xlnm._FilterDatabase" localSheetId="9" hidden="1">'depen inversi'!$A$1:$X$130</definedName>
    <definedName name="_xlnm._FilterDatabase" localSheetId="0" hidden="1">'Ejecución Agregado'!$A$4:$AB$4</definedName>
    <definedName name="_xlnm._FilterDatabase" localSheetId="1" hidden="1">'Inf x Dependencia'!$A$1:$AC$253</definedName>
  </definedNames>
  <calcPr calcId="191029"/>
  <pivotCaches>
    <pivotCache cacheId="0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5" i="1" l="1"/>
  <c r="D30" i="15" l="1"/>
  <c r="D29" i="15"/>
  <c r="G16" i="15" l="1"/>
  <c r="E16" i="15"/>
  <c r="D16" i="15"/>
  <c r="G15" i="15"/>
  <c r="E15" i="15"/>
  <c r="D15" i="15"/>
  <c r="F16" i="15" l="1"/>
  <c r="H16" i="15"/>
  <c r="AC3" i="1" l="1"/>
  <c r="AB3" i="1"/>
  <c r="AC2" i="1"/>
  <c r="AB2" i="1"/>
  <c r="M11" i="14"/>
  <c r="J10" i="14"/>
  <c r="K10" i="14"/>
  <c r="K11" i="14"/>
  <c r="M10" i="14"/>
  <c r="J11" i="14"/>
  <c r="L10" i="14" l="1"/>
  <c r="N10" i="14"/>
  <c r="AC4" i="1" l="1"/>
  <c r="AC5" i="1"/>
  <c r="AC6" i="1"/>
  <c r="AC7" i="1"/>
  <c r="AB4" i="1"/>
  <c r="AB5" i="1"/>
  <c r="AB6" i="1"/>
  <c r="C15" i="10" l="1"/>
  <c r="B15" i="10"/>
  <c r="S16" i="10"/>
  <c r="T16" i="10"/>
  <c r="W14" i="10"/>
  <c r="W10" i="10"/>
  <c r="W8" i="10"/>
  <c r="T251" i="1"/>
  <c r="U251" i="1"/>
  <c r="V251" i="1"/>
  <c r="W251" i="1"/>
  <c r="X251" i="1"/>
  <c r="Y251" i="1"/>
  <c r="Z251" i="1"/>
  <c r="AA251" i="1"/>
  <c r="S251" i="1"/>
  <c r="T245" i="1"/>
  <c r="U245" i="1"/>
  <c r="V245" i="1"/>
  <c r="W245" i="1"/>
  <c r="X245" i="1"/>
  <c r="Y245" i="1"/>
  <c r="Z245" i="1"/>
  <c r="AA245" i="1"/>
  <c r="S245" i="1"/>
  <c r="O14" i="11"/>
  <c r="P15" i="10"/>
  <c r="P12" i="5"/>
  <c r="P13" i="5"/>
  <c r="P11" i="5"/>
  <c r="N15" i="10"/>
  <c r="M15" i="10"/>
  <c r="Q15" i="10" l="1"/>
  <c r="P16" i="10"/>
  <c r="O15" i="10"/>
  <c r="N16" i="10"/>
  <c r="M16" i="10"/>
  <c r="R33" i="4"/>
  <c r="S33" i="4"/>
  <c r="T33" i="4"/>
  <c r="U33" i="4"/>
  <c r="V33" i="4"/>
  <c r="W33" i="4"/>
  <c r="X33" i="4"/>
  <c r="Y33" i="4"/>
  <c r="Z33" i="4"/>
  <c r="AA33" i="4"/>
  <c r="Q33" i="4"/>
  <c r="O16" i="10" l="1"/>
  <c r="Q16" i="10"/>
  <c r="C15" i="5"/>
  <c r="B15" i="5"/>
  <c r="H18" i="5"/>
  <c r="G18" i="5"/>
  <c r="H17" i="5"/>
  <c r="G17" i="5"/>
  <c r="H16" i="5"/>
  <c r="G16" i="5"/>
  <c r="K15" i="5"/>
  <c r="R39" i="4"/>
  <c r="S39" i="4"/>
  <c r="T39" i="4"/>
  <c r="D33" i="15" s="1"/>
  <c r="U39" i="4"/>
  <c r="V39" i="4"/>
  <c r="W39" i="4"/>
  <c r="X39" i="4"/>
  <c r="E33" i="15" s="1"/>
  <c r="Y39" i="4"/>
  <c r="G33" i="15" s="1"/>
  <c r="Z39" i="4"/>
  <c r="AA39" i="4"/>
  <c r="R37" i="4"/>
  <c r="S37" i="4"/>
  <c r="T37" i="4"/>
  <c r="U37" i="4"/>
  <c r="V37" i="4"/>
  <c r="W37" i="4"/>
  <c r="X37" i="4"/>
  <c r="Y37" i="4"/>
  <c r="Z37" i="4"/>
  <c r="AA37" i="4"/>
  <c r="Q39" i="4"/>
  <c r="Q37" i="4"/>
  <c r="M16" i="5"/>
  <c r="O17" i="11"/>
  <c r="M15" i="5"/>
  <c r="O23" i="11"/>
  <c r="O22" i="11"/>
  <c r="P18" i="5"/>
  <c r="N17" i="5"/>
  <c r="O18" i="11"/>
  <c r="O24" i="11"/>
  <c r="M18" i="5"/>
  <c r="N18" i="5"/>
  <c r="N16" i="5"/>
  <c r="P17" i="5"/>
  <c r="O20" i="11"/>
  <c r="O21" i="11"/>
  <c r="N15" i="5"/>
  <c r="O16" i="11"/>
  <c r="P15" i="5"/>
  <c r="O19" i="11"/>
  <c r="P16" i="5"/>
  <c r="M17" i="5"/>
  <c r="P19" i="5" l="1"/>
  <c r="Q15" i="5"/>
  <c r="M19" i="5"/>
  <c r="O16" i="5"/>
  <c r="Q18" i="5"/>
  <c r="O17" i="5"/>
  <c r="O15" i="5"/>
  <c r="N19" i="5"/>
  <c r="Q17" i="5"/>
  <c r="Q16" i="5"/>
  <c r="O18" i="5"/>
  <c r="O19" i="5" l="1"/>
  <c r="Q19" i="5"/>
  <c r="C16" i="11" l="1"/>
  <c r="B16" i="11"/>
  <c r="V23" i="11"/>
  <c r="W21" i="11"/>
  <c r="W19" i="11"/>
  <c r="W18" i="11"/>
  <c r="W16" i="11"/>
  <c r="J16" i="11"/>
  <c r="C10" i="5"/>
  <c r="B10" i="5"/>
  <c r="K10" i="5"/>
  <c r="C5" i="5"/>
  <c r="B5" i="5"/>
  <c r="N5" i="5"/>
  <c r="M10" i="5"/>
  <c r="M20" i="11"/>
  <c r="M23" i="11"/>
  <c r="M7" i="5"/>
  <c r="L23" i="11"/>
  <c r="M11" i="5"/>
  <c r="M13" i="5"/>
  <c r="M16" i="11"/>
  <c r="L17" i="11"/>
  <c r="L16" i="11"/>
  <c r="L18" i="11"/>
  <c r="N10" i="5"/>
  <c r="M19" i="11"/>
  <c r="M5" i="5"/>
  <c r="M12" i="5"/>
  <c r="P6" i="5"/>
  <c r="L20" i="11"/>
  <c r="M17" i="11"/>
  <c r="N11" i="5"/>
  <c r="M21" i="11"/>
  <c r="M6" i="5"/>
  <c r="P10" i="5"/>
  <c r="L19" i="11"/>
  <c r="N13" i="5"/>
  <c r="P5" i="5"/>
  <c r="N7" i="5"/>
  <c r="L22" i="11"/>
  <c r="N6" i="5"/>
  <c r="L21" i="11"/>
  <c r="P7" i="5"/>
  <c r="M18" i="11"/>
  <c r="M24" i="11"/>
  <c r="M22" i="11"/>
  <c r="L24" i="11"/>
  <c r="N12" i="5"/>
  <c r="M9" i="5" l="1"/>
  <c r="P14" i="5"/>
  <c r="L25" i="11"/>
  <c r="N16" i="11"/>
  <c r="M25" i="11"/>
  <c r="N18" i="11"/>
  <c r="P20" i="11"/>
  <c r="P22" i="11"/>
  <c r="P24" i="11"/>
  <c r="N17" i="11"/>
  <c r="N23" i="11"/>
  <c r="P17" i="11"/>
  <c r="P19" i="11"/>
  <c r="P21" i="11"/>
  <c r="P23" i="11"/>
  <c r="N19" i="11"/>
  <c r="N21" i="11"/>
  <c r="P16" i="11"/>
  <c r="O25" i="11"/>
  <c r="P18" i="11"/>
  <c r="N20" i="11"/>
  <c r="N22" i="11"/>
  <c r="N24" i="11"/>
  <c r="W23" i="11"/>
  <c r="X16" i="11" s="1"/>
  <c r="M14" i="5"/>
  <c r="N14" i="5"/>
  <c r="O13" i="5"/>
  <c r="Q13" i="5"/>
  <c r="Q10" i="5"/>
  <c r="Q12" i="5"/>
  <c r="Q11" i="5"/>
  <c r="O10" i="5"/>
  <c r="O11" i="5"/>
  <c r="O12" i="5"/>
  <c r="P25" i="11" l="1"/>
  <c r="X18" i="11"/>
  <c r="X21" i="11"/>
  <c r="X19" i="11"/>
  <c r="N25" i="11"/>
  <c r="O14" i="5"/>
  <c r="Q14" i="5"/>
  <c r="C11" i="10" l="1"/>
  <c r="B11" i="10"/>
  <c r="C9" i="10"/>
  <c r="B9" i="10"/>
  <c r="C6" i="10"/>
  <c r="B6" i="10"/>
  <c r="C6" i="11"/>
  <c r="B6" i="11"/>
  <c r="C12" i="11"/>
  <c r="B12" i="11"/>
  <c r="P13" i="10"/>
  <c r="M10" i="11"/>
  <c r="M13" i="10"/>
  <c r="P11" i="10"/>
  <c r="L6" i="11"/>
  <c r="O9" i="11"/>
  <c r="M9" i="10"/>
  <c r="M12" i="10"/>
  <c r="O6" i="11"/>
  <c r="M12" i="11"/>
  <c r="O10" i="11"/>
  <c r="P6" i="10"/>
  <c r="M14" i="11"/>
  <c r="N13" i="10"/>
  <c r="M11" i="10"/>
  <c r="M6" i="10"/>
  <c r="M13" i="11"/>
  <c r="P12" i="10"/>
  <c r="M6" i="11"/>
  <c r="L12" i="11"/>
  <c r="N12" i="10"/>
  <c r="N11" i="10"/>
  <c r="N6" i="10"/>
  <c r="L14" i="11"/>
  <c r="O12" i="11"/>
  <c r="M9" i="11"/>
  <c r="O8" i="11"/>
  <c r="P9" i="10"/>
  <c r="O13" i="11"/>
  <c r="N9" i="10"/>
  <c r="L13" i="11"/>
  <c r="M8" i="10" l="1"/>
  <c r="P14" i="10"/>
  <c r="N14" i="10"/>
  <c r="M14" i="10"/>
  <c r="M10" i="10"/>
  <c r="N10" i="10"/>
  <c r="N8" i="10"/>
  <c r="P10" i="10"/>
  <c r="P8" i="10"/>
  <c r="O11" i="11"/>
  <c r="L9" i="11"/>
  <c r="L10" i="11"/>
  <c r="P17" i="10" l="1"/>
  <c r="N17" i="10"/>
  <c r="M17" i="10"/>
  <c r="D25" i="15" s="1"/>
  <c r="O14" i="10"/>
  <c r="O10" i="10"/>
  <c r="Q14" i="10"/>
  <c r="O8" i="10"/>
  <c r="Q8" i="10"/>
  <c r="Q10" i="10"/>
  <c r="C8" i="11"/>
  <c r="B8" i="11"/>
  <c r="J8" i="14"/>
  <c r="M8" i="14"/>
  <c r="J9" i="14"/>
  <c r="L8" i="11"/>
  <c r="K8" i="14"/>
  <c r="M9" i="14"/>
  <c r="K9" i="14"/>
  <c r="M8" i="11"/>
  <c r="M21" i="10" l="1"/>
  <c r="L11" i="11"/>
  <c r="M11" i="11"/>
  <c r="P10" i="11"/>
  <c r="N10" i="11"/>
  <c r="P9" i="11"/>
  <c r="N9" i="11"/>
  <c r="B8" i="14"/>
  <c r="A8" i="14"/>
  <c r="B6" i="14"/>
  <c r="A6" i="14"/>
  <c r="H6" i="14"/>
  <c r="K6" i="14"/>
  <c r="M6" i="14"/>
  <c r="J6" i="14"/>
  <c r="J7" i="14" l="1"/>
  <c r="K7" i="14"/>
  <c r="L6" i="14"/>
  <c r="M7" i="14"/>
  <c r="N6" i="14"/>
  <c r="N7" i="14" l="1"/>
  <c r="L7" i="14"/>
  <c r="C6" i="12" l="1"/>
  <c r="B6" i="12"/>
  <c r="J6" i="12"/>
  <c r="C8" i="12"/>
  <c r="B8" i="12"/>
  <c r="O13" i="12"/>
  <c r="L9" i="12"/>
  <c r="L6" i="12"/>
  <c r="O9" i="12"/>
  <c r="O15" i="12"/>
  <c r="O11" i="12"/>
  <c r="M11" i="12"/>
  <c r="M12" i="12"/>
  <c r="M15" i="12"/>
  <c r="O8" i="12"/>
  <c r="M10" i="12"/>
  <c r="L13" i="12"/>
  <c r="M6" i="12"/>
  <c r="M13" i="12"/>
  <c r="O10" i="12"/>
  <c r="M9" i="12"/>
  <c r="O14" i="12"/>
  <c r="M14" i="12"/>
  <c r="L14" i="12"/>
  <c r="L10" i="12"/>
  <c r="M8" i="12"/>
  <c r="L12" i="12"/>
  <c r="O6" i="12"/>
  <c r="L15" i="12"/>
  <c r="O12" i="12"/>
  <c r="L8" i="12"/>
  <c r="L11" i="12"/>
  <c r="O7" i="12" l="1"/>
  <c r="P6" i="12"/>
  <c r="L7" i="12"/>
  <c r="M7" i="12"/>
  <c r="N6" i="12"/>
  <c r="L16" i="12"/>
  <c r="N8" i="12"/>
  <c r="N9" i="12"/>
  <c r="N10" i="12"/>
  <c r="N11" i="12"/>
  <c r="N12" i="12"/>
  <c r="N13" i="12"/>
  <c r="N14" i="12"/>
  <c r="N15" i="12"/>
  <c r="O16" i="12"/>
  <c r="M16" i="12"/>
  <c r="P15" i="12"/>
  <c r="P14" i="12"/>
  <c r="P13" i="12"/>
  <c r="L17" i="12" l="1"/>
  <c r="M17" i="12"/>
  <c r="O17" i="12"/>
  <c r="N7" i="12"/>
  <c r="P7" i="12"/>
  <c r="N16" i="12"/>
  <c r="AB7" i="1" l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O134" i="6" l="1"/>
  <c r="P134" i="6"/>
  <c r="Q134" i="6"/>
  <c r="R134" i="6"/>
  <c r="S134" i="6"/>
  <c r="T134" i="6"/>
  <c r="U134" i="6"/>
  <c r="V134" i="6"/>
  <c r="W134" i="6"/>
  <c r="X134" i="6"/>
  <c r="N134" i="6"/>
  <c r="R471" i="1" l="1"/>
  <c r="G13" i="15" l="1"/>
  <c r="E13" i="15"/>
  <c r="D13" i="15"/>
  <c r="T467" i="1"/>
  <c r="U467" i="1"/>
  <c r="V467" i="1"/>
  <c r="W467" i="1"/>
  <c r="X467" i="1"/>
  <c r="Y467" i="1"/>
  <c r="S467" i="1"/>
  <c r="Z249" i="1" l="1"/>
  <c r="AA249" i="1"/>
  <c r="D4" i="12" l="1"/>
  <c r="C4" i="14"/>
  <c r="D4" i="11"/>
  <c r="E4" i="10"/>
  <c r="M12" i="14" l="1"/>
  <c r="M13" i="14" s="1"/>
  <c r="L11" i="14"/>
  <c r="L9" i="14"/>
  <c r="K12" i="14"/>
  <c r="K13" i="14" s="1"/>
  <c r="L8" i="14"/>
  <c r="J12" i="14"/>
  <c r="J13" i="14" l="1"/>
  <c r="L12" i="14"/>
  <c r="G14" i="15" l="1"/>
  <c r="G17" i="15" s="1"/>
  <c r="E14" i="15"/>
  <c r="E17" i="15" s="1"/>
  <c r="D14" i="15"/>
  <c r="D17" i="15" s="1"/>
  <c r="U468" i="1"/>
  <c r="U469" i="1" s="1"/>
  <c r="X468" i="1"/>
  <c r="X469" i="1" s="1"/>
  <c r="Y468" i="1"/>
  <c r="Y469" i="1" s="1"/>
  <c r="W468" i="1" l="1"/>
  <c r="W469" i="1" s="1"/>
  <c r="V468" i="1"/>
  <c r="V469" i="1" s="1"/>
  <c r="Q136" i="6"/>
  <c r="Q138" i="6" s="1"/>
  <c r="V252" i="1"/>
  <c r="V253" i="1" s="1"/>
  <c r="T136" i="6"/>
  <c r="T138" i="6" s="1"/>
  <c r="Y252" i="1"/>
  <c r="Y253" i="1" s="1"/>
  <c r="S136" i="6"/>
  <c r="S138" i="6" s="1"/>
  <c r="X252" i="1"/>
  <c r="X253" i="1" s="1"/>
  <c r="P136" i="6"/>
  <c r="P138" i="6" s="1"/>
  <c r="U252" i="1"/>
  <c r="U253" i="1" s="1"/>
  <c r="G6" i="15"/>
  <c r="R136" i="6"/>
  <c r="R138" i="6" s="1"/>
  <c r="W252" i="1"/>
  <c r="W253" i="1" s="1"/>
  <c r="H14" i="15"/>
  <c r="F13" i="15"/>
  <c r="F14" i="15"/>
  <c r="F15" i="15"/>
  <c r="H15" i="15"/>
  <c r="H13" i="15"/>
  <c r="E6" i="15"/>
  <c r="T9" i="14"/>
  <c r="T8" i="14"/>
  <c r="S12" i="14"/>
  <c r="W15" i="11"/>
  <c r="W14" i="11"/>
  <c r="W13" i="11"/>
  <c r="W12" i="11"/>
  <c r="W11" i="11"/>
  <c r="W7" i="11"/>
  <c r="W6" i="11"/>
  <c r="X13" i="10"/>
  <c r="X11" i="10"/>
  <c r="X6" i="10"/>
  <c r="X7" i="5"/>
  <c r="X5" i="5"/>
  <c r="J8" i="12"/>
  <c r="F17" i="15" l="1"/>
  <c r="H17" i="15"/>
  <c r="Y11" i="10"/>
  <c r="Y13" i="10"/>
  <c r="Y6" i="10"/>
  <c r="T12" i="14"/>
  <c r="Y7" i="5"/>
  <c r="X13" i="11"/>
  <c r="N8" i="14"/>
  <c r="N9" i="14"/>
  <c r="N11" i="14"/>
  <c r="P10" i="12"/>
  <c r="P9" i="12"/>
  <c r="P8" i="12"/>
  <c r="P11" i="12"/>
  <c r="P12" i="12"/>
  <c r="X6" i="11" l="1"/>
  <c r="X12" i="11"/>
  <c r="X15" i="11"/>
  <c r="U8" i="14"/>
  <c r="Y5" i="5"/>
  <c r="U9" i="14"/>
  <c r="X7" i="11"/>
  <c r="X14" i="11"/>
  <c r="X11" i="11"/>
  <c r="N12" i="14"/>
  <c r="P16" i="12"/>
  <c r="D27" i="15" l="1"/>
  <c r="G23" i="15"/>
  <c r="E23" i="15"/>
  <c r="E27" i="15"/>
  <c r="G27" i="15"/>
  <c r="D23" i="15"/>
  <c r="L13" i="14"/>
  <c r="N13" i="14"/>
  <c r="N17" i="12"/>
  <c r="P17" i="12"/>
  <c r="H23" i="15" l="1"/>
  <c r="H27" i="15"/>
  <c r="F27" i="15"/>
  <c r="F23" i="15"/>
  <c r="J12" i="11"/>
  <c r="J8" i="11"/>
  <c r="J6" i="11"/>
  <c r="K11" i="10"/>
  <c r="K9" i="10"/>
  <c r="J9" i="10"/>
  <c r="P9" i="5"/>
  <c r="P20" i="5" s="1"/>
  <c r="K5" i="5"/>
  <c r="I3" i="3"/>
  <c r="I6" i="10" s="1"/>
  <c r="I22" i="3"/>
  <c r="H12" i="5" s="1"/>
  <c r="I21" i="3"/>
  <c r="H16" i="11" s="1"/>
  <c r="I20" i="3"/>
  <c r="H11" i="5" s="1"/>
  <c r="I18" i="3"/>
  <c r="H10" i="5" s="1"/>
  <c r="I16" i="3"/>
  <c r="I15" i="3"/>
  <c r="I14" i="3"/>
  <c r="I13" i="3"/>
  <c r="I12" i="3"/>
  <c r="I11" i="3"/>
  <c r="I10" i="3"/>
  <c r="H10" i="11" s="1"/>
  <c r="I9" i="3"/>
  <c r="I8" i="3"/>
  <c r="H8" i="11" s="1"/>
  <c r="I7" i="3"/>
  <c r="H6" i="11" s="1"/>
  <c r="I6" i="3"/>
  <c r="G22" i="3"/>
  <c r="G12" i="5" s="1"/>
  <c r="G21" i="3"/>
  <c r="G16" i="11" s="1"/>
  <c r="G20" i="3"/>
  <c r="G18" i="3"/>
  <c r="G10" i="5" s="1"/>
  <c r="G16" i="3"/>
  <c r="G15" i="3"/>
  <c r="G14" i="3"/>
  <c r="G13" i="3"/>
  <c r="G12" i="3"/>
  <c r="F6" i="14" s="1"/>
  <c r="G11" i="3"/>
  <c r="G10" i="3"/>
  <c r="G10" i="11" s="1"/>
  <c r="G9" i="3"/>
  <c r="G8" i="3"/>
  <c r="G8" i="11" s="1"/>
  <c r="G7" i="3"/>
  <c r="G6" i="11" s="1"/>
  <c r="G6" i="3"/>
  <c r="H9" i="10" s="1"/>
  <c r="F22" i="3"/>
  <c r="F21" i="3"/>
  <c r="F16" i="11" s="1"/>
  <c r="F20" i="3"/>
  <c r="E8" i="14" s="1"/>
  <c r="F18" i="3"/>
  <c r="F16" i="3"/>
  <c r="F15" i="3"/>
  <c r="F14" i="3"/>
  <c r="F13" i="3"/>
  <c r="F12" i="3"/>
  <c r="E6" i="14" s="1"/>
  <c r="F11" i="3"/>
  <c r="F10" i="3"/>
  <c r="F10" i="11" s="1"/>
  <c r="F9" i="3"/>
  <c r="F9" i="11" s="1"/>
  <c r="F8" i="3"/>
  <c r="F7" i="3"/>
  <c r="F6" i="11" s="1"/>
  <c r="F6" i="3"/>
  <c r="G9" i="10" s="1"/>
  <c r="I5" i="3"/>
  <c r="G5" i="3"/>
  <c r="F5" i="3"/>
  <c r="I4" i="3"/>
  <c r="G4" i="3"/>
  <c r="F4" i="3"/>
  <c r="F6" i="12" s="1"/>
  <c r="G3" i="3"/>
  <c r="H6" i="10" s="1"/>
  <c r="F3" i="3"/>
  <c r="G6" i="10" s="1"/>
  <c r="D16" i="3"/>
  <c r="C16" i="3"/>
  <c r="B16" i="3"/>
  <c r="D22" i="3"/>
  <c r="C22" i="3"/>
  <c r="B22" i="3"/>
  <c r="D21" i="3"/>
  <c r="C21" i="3"/>
  <c r="B21" i="3"/>
  <c r="D20" i="3"/>
  <c r="C20" i="3"/>
  <c r="B20" i="3"/>
  <c r="C10" i="3"/>
  <c r="C11" i="3"/>
  <c r="C12" i="3"/>
  <c r="C13" i="3"/>
  <c r="C14" i="3"/>
  <c r="C15" i="3"/>
  <c r="D18" i="3"/>
  <c r="C18" i="3"/>
  <c r="B18" i="3"/>
  <c r="D11" i="3"/>
  <c r="D12" i="3"/>
  <c r="D13" i="3"/>
  <c r="D14" i="3"/>
  <c r="D15" i="3"/>
  <c r="B15" i="3"/>
  <c r="B14" i="3"/>
  <c r="B13" i="3"/>
  <c r="B12" i="3"/>
  <c r="B11" i="3"/>
  <c r="D10" i="3"/>
  <c r="B10" i="3"/>
  <c r="D9" i="3"/>
  <c r="C9" i="3"/>
  <c r="B9" i="3"/>
  <c r="D8" i="3"/>
  <c r="I8" i="11" s="1"/>
  <c r="C8" i="3"/>
  <c r="B8" i="3"/>
  <c r="D7" i="3"/>
  <c r="C7" i="3"/>
  <c r="B7" i="3"/>
  <c r="C6" i="3"/>
  <c r="B6" i="3"/>
  <c r="D5" i="3"/>
  <c r="C5" i="3"/>
  <c r="B5" i="3"/>
  <c r="D4" i="3"/>
  <c r="C4" i="3"/>
  <c r="B4" i="3"/>
  <c r="E3" i="3"/>
  <c r="K6" i="10" s="1"/>
  <c r="D3" i="3"/>
  <c r="J6" i="10" s="1"/>
  <c r="C3" i="3"/>
  <c r="B3" i="3"/>
  <c r="T468" i="1"/>
  <c r="T469" i="1" s="1"/>
  <c r="I5" i="5" l="1"/>
  <c r="H6" i="12"/>
  <c r="H12" i="11"/>
  <c r="H9" i="11"/>
  <c r="H5" i="5"/>
  <c r="G6" i="12"/>
  <c r="F8" i="14"/>
  <c r="G11" i="5"/>
  <c r="G12" i="11"/>
  <c r="G9" i="11"/>
  <c r="S468" i="1"/>
  <c r="S469" i="1" s="1"/>
  <c r="E5" i="15"/>
  <c r="G5" i="15"/>
  <c r="N136" i="6"/>
  <c r="N138" i="6" s="1"/>
  <c r="S252" i="1"/>
  <c r="S253" i="1" s="1"/>
  <c r="O136" i="6"/>
  <c r="O138" i="6" s="1"/>
  <c r="T252" i="1"/>
  <c r="T253" i="1" s="1"/>
  <c r="I19" i="3"/>
  <c r="D4" i="15"/>
  <c r="D18" i="15"/>
  <c r="E4" i="15"/>
  <c r="E18" i="15"/>
  <c r="G4" i="15"/>
  <c r="G18" i="15"/>
  <c r="J9" i="3"/>
  <c r="H20" i="3"/>
  <c r="D6" i="15"/>
  <c r="R40" i="4"/>
  <c r="R42" i="4" s="1"/>
  <c r="H7" i="3"/>
  <c r="J22" i="3"/>
  <c r="F19" i="3"/>
  <c r="H14" i="3"/>
  <c r="J7" i="3"/>
  <c r="J18" i="3"/>
  <c r="H10" i="3"/>
  <c r="H6" i="3"/>
  <c r="J11" i="3"/>
  <c r="Z40" i="4"/>
  <c r="J15" i="3"/>
  <c r="J21" i="3"/>
  <c r="H4" i="3"/>
  <c r="J8" i="3"/>
  <c r="J16" i="3"/>
  <c r="V40" i="4"/>
  <c r="T247" i="1" s="1"/>
  <c r="T249" i="1" s="1"/>
  <c r="J5" i="3"/>
  <c r="W40" i="4"/>
  <c r="H18" i="3"/>
  <c r="J10" i="3"/>
  <c r="T40" i="4"/>
  <c r="G8" i="12"/>
  <c r="U40" i="4"/>
  <c r="U42" i="4" s="1"/>
  <c r="H21" i="3"/>
  <c r="F8" i="12"/>
  <c r="F8" i="11"/>
  <c r="H12" i="3"/>
  <c r="H22" i="3"/>
  <c r="H13" i="3"/>
  <c r="J6" i="3"/>
  <c r="G5" i="5"/>
  <c r="X40" i="4"/>
  <c r="G23" i="3"/>
  <c r="J13" i="3"/>
  <c r="I9" i="10"/>
  <c r="J11" i="10"/>
  <c r="Q40" i="4"/>
  <c r="Q42" i="4" s="1"/>
  <c r="Y40" i="4"/>
  <c r="F12" i="11"/>
  <c r="H3" i="3"/>
  <c r="S40" i="4"/>
  <c r="S42" i="4" s="1"/>
  <c r="AA40" i="4"/>
  <c r="Y247" i="1" s="1"/>
  <c r="Y249" i="1" s="1"/>
  <c r="I23" i="3"/>
  <c r="H8" i="12"/>
  <c r="L15" i="11"/>
  <c r="M15" i="11"/>
  <c r="O15" i="11"/>
  <c r="L7" i="11"/>
  <c r="M7" i="11"/>
  <c r="O7" i="11"/>
  <c r="P14" i="11"/>
  <c r="N14" i="11"/>
  <c r="P13" i="11"/>
  <c r="N13" i="11"/>
  <c r="O6" i="10"/>
  <c r="Q6" i="10"/>
  <c r="O9" i="10"/>
  <c r="Q9" i="10"/>
  <c r="O11" i="10"/>
  <c r="Q11" i="10"/>
  <c r="O12" i="10"/>
  <c r="Q12" i="10"/>
  <c r="Q13" i="10"/>
  <c r="O13" i="10"/>
  <c r="P6" i="11"/>
  <c r="P8" i="11"/>
  <c r="P12" i="11"/>
  <c r="N6" i="11"/>
  <c r="N8" i="11"/>
  <c r="N12" i="11"/>
  <c r="Q5" i="5"/>
  <c r="Q6" i="5"/>
  <c r="Q7" i="5"/>
  <c r="O5" i="5"/>
  <c r="O6" i="5"/>
  <c r="O7" i="5"/>
  <c r="N9" i="5"/>
  <c r="N20" i="5" s="1"/>
  <c r="G19" i="3"/>
  <c r="J20" i="3"/>
  <c r="J14" i="3"/>
  <c r="H11" i="3"/>
  <c r="H15" i="3"/>
  <c r="H8" i="3"/>
  <c r="H5" i="3"/>
  <c r="H16" i="3"/>
  <c r="J3" i="3"/>
  <c r="F23" i="3"/>
  <c r="J12" i="3"/>
  <c r="H9" i="3"/>
  <c r="F17" i="3"/>
  <c r="I17" i="3"/>
  <c r="G17" i="3"/>
  <c r="J4" i="3"/>
  <c r="M20" i="5" l="1"/>
  <c r="O26" i="11"/>
  <c r="M26" i="11"/>
  <c r="H15" i="5"/>
  <c r="H13" i="5"/>
  <c r="G15" i="5"/>
  <c r="G13" i="5"/>
  <c r="L26" i="11"/>
  <c r="H6" i="15"/>
  <c r="F6" i="15"/>
  <c r="F4" i="15"/>
  <c r="E7" i="15"/>
  <c r="H4" i="15"/>
  <c r="G7" i="15"/>
  <c r="D7" i="15"/>
  <c r="G25" i="15"/>
  <c r="E25" i="15"/>
  <c r="S247" i="1"/>
  <c r="S249" i="1" s="1"/>
  <c r="W247" i="1"/>
  <c r="W249" i="1" s="1"/>
  <c r="J19" i="3"/>
  <c r="E8" i="15"/>
  <c r="V247" i="1"/>
  <c r="V249" i="1" s="1"/>
  <c r="W42" i="4"/>
  <c r="U247" i="1"/>
  <c r="Z42" i="4"/>
  <c r="X247" i="1"/>
  <c r="X249" i="1" s="1"/>
  <c r="H23" i="3"/>
  <c r="Y42" i="4"/>
  <c r="G8" i="15"/>
  <c r="T42" i="4"/>
  <c r="D8" i="15"/>
  <c r="I24" i="3"/>
  <c r="H19" i="3"/>
  <c r="J23" i="3"/>
  <c r="X42" i="4"/>
  <c r="AA42" i="4"/>
  <c r="G24" i="3"/>
  <c r="V42" i="4"/>
  <c r="F24" i="3"/>
  <c r="N15" i="11"/>
  <c r="O17" i="10"/>
  <c r="Q17" i="10"/>
  <c r="P15" i="11"/>
  <c r="P11" i="11"/>
  <c r="N11" i="11"/>
  <c r="P7" i="11"/>
  <c r="N7" i="11"/>
  <c r="Q9" i="5"/>
  <c r="O9" i="5"/>
  <c r="J17" i="3"/>
  <c r="H17" i="3"/>
  <c r="D26" i="15" l="1"/>
  <c r="M23" i="5"/>
  <c r="M25" i="5" s="1"/>
  <c r="M27" i="5" s="1"/>
  <c r="F7" i="15"/>
  <c r="H7" i="15"/>
  <c r="H25" i="15"/>
  <c r="F25" i="15"/>
  <c r="D24" i="15"/>
  <c r="J24" i="3"/>
  <c r="E26" i="15"/>
  <c r="G26" i="15"/>
  <c r="H24" i="3"/>
  <c r="O20" i="5"/>
  <c r="Q20" i="5"/>
  <c r="D31" i="15" l="1"/>
  <c r="D34" i="15" s="1"/>
  <c r="N23" i="5"/>
  <c r="P23" i="5"/>
  <c r="H26" i="15"/>
  <c r="F26" i="15"/>
  <c r="N26" i="11"/>
  <c r="O23" i="5" s="1"/>
  <c r="E24" i="15"/>
  <c r="E31" i="15" s="1"/>
  <c r="P26" i="11"/>
  <c r="Q23" i="5" s="1"/>
  <c r="G24" i="15"/>
  <c r="G31" i="15" s="1"/>
  <c r="H24" i="15" l="1"/>
  <c r="F24" i="15"/>
  <c r="F31" i="15" l="1"/>
  <c r="E34" i="15"/>
  <c r="H31" i="15"/>
  <c r="G34" i="15"/>
</calcChain>
</file>

<file path=xl/sharedStrings.xml><?xml version="1.0" encoding="utf-8"?>
<sst xmlns="http://schemas.openxmlformats.org/spreadsheetml/2006/main" count="5280" uniqueCount="716">
  <si>
    <t>Año Fiscal:</t>
  </si>
  <si>
    <t/>
  </si>
  <si>
    <t>Vigencia:</t>
  </si>
  <si>
    <t>Actual</t>
  </si>
  <si>
    <t>Periodo:</t>
  </si>
  <si>
    <t>Febrero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</si>
  <si>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</si>
  <si>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</si>
  <si>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</si>
  <si>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</si>
  <si>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</si>
  <si>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</si>
  <si>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</si>
  <si>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</si>
  <si>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</si>
  <si>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</si>
  <si>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</si>
  <si>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</si>
  <si>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</si>
  <si>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</si>
  <si>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</si>
  <si>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</si>
  <si>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</si>
  <si>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</si>
  <si>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</si>
  <si>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</si>
  <si>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</si>
  <si>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</si>
  <si>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</si>
  <si>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</si>
  <si>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</si>
  <si>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</si>
  <si>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</si>
  <si>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03-01-01</t>
  </si>
  <si>
    <t>DEPARTAMENTO DE PLANEACIÓN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</si>
  <si>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</si>
  <si>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</si>
  <si>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</si>
  <si>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</si>
  <si>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</si>
  <si>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</si>
  <si>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</si>
  <si>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</si>
  <si>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</si>
  <si>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</si>
  <si>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</si>
  <si>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</si>
  <si>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</si>
  <si>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</si>
  <si>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</si>
  <si>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</si>
  <si>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</si>
  <si>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</si>
  <si>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A-03-04-02-001</t>
  </si>
  <si>
    <t>04</t>
  </si>
  <si>
    <t>001</t>
  </si>
  <si>
    <t>MESADAS PENSIONALES (DE PENSIONES)</t>
  </si>
  <si>
    <t>A-03-04-02-002</t>
  </si>
  <si>
    <t>002</t>
  </si>
  <si>
    <t>CUOTAS PARTES PENSIONALES (DE PENSIONES)</t>
  </si>
  <si>
    <t>A-03-04-02-004</t>
  </si>
  <si>
    <t>004</t>
  </si>
  <si>
    <t>BONOS PENSIONALES (DE PENSIONES)</t>
  </si>
  <si>
    <t>A-03-04-02-012</t>
  </si>
  <si>
    <t>012</t>
  </si>
  <si>
    <t>INCAPACIDADES Y LICENCIAS DE MATERNIDAD Y PATERNIDAD (NO DE PENSIONES)</t>
  </si>
  <si>
    <t>A-03-10</t>
  </si>
  <si>
    <t>SENTENCIAS Y CONCILIACIONES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</si>
  <si>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</si>
  <si>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</si>
  <si>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</si>
  <si>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</si>
  <si>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</si>
  <si>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</si>
  <si>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</si>
  <si>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C-0301-1000-18-51102E</t>
  </si>
  <si>
    <t>C</t>
  </si>
  <si>
    <t>0301</t>
  </si>
  <si>
    <t>1000</t>
  </si>
  <si>
    <t>18</t>
  </si>
  <si>
    <t>51102E</t>
  </si>
  <si>
    <t>5. CONVERGENCIA REGIONAL / E. PLANEACIÓN Y GESTIÓN TERRITORIAL INTELIGENTE</t>
  </si>
  <si>
    <t>C-0301-1000-20-51102E</t>
  </si>
  <si>
    <t>20</t>
  </si>
  <si>
    <t>13</t>
  </si>
  <si>
    <t>14</t>
  </si>
  <si>
    <t>C-0301-1000-22-10305B</t>
  </si>
  <si>
    <t>22</t>
  </si>
  <si>
    <t>10305B</t>
  </si>
  <si>
    <t>1. ORDENAMIENTO DEL TERRITORIO ALREDEDOR DEL AGUA Y JUSTICIA AMBIENTAL / B. ACTUALIZACIÓN CATASTRAL MULTIPROPÓSITO</t>
  </si>
  <si>
    <t>C-0301-1000-29-52104E</t>
  </si>
  <si>
    <t>29</t>
  </si>
  <si>
    <t>52104E</t>
  </si>
  <si>
    <t>5. CONVERGENCIA REGIONAL / E. INFRAESTRUCTURA Y SERVICIOS LOGÍSTICOS</t>
  </si>
  <si>
    <t>C-0301-1000-30-52104E</t>
  </si>
  <si>
    <t>30</t>
  </si>
  <si>
    <t>C-0301-1000-31-53105B</t>
  </si>
  <si>
    <t>31</t>
  </si>
  <si>
    <t>53105B</t>
  </si>
  <si>
    <t>5. CONVERGENCIA REGIONAL / B. ENTIDADES PÚBLICAS TERRITORIALES Y NACIONALES FORTALECIDAS</t>
  </si>
  <si>
    <t>C-0301-1000-33-53105F</t>
  </si>
  <si>
    <t>33</t>
  </si>
  <si>
    <t>53105F</t>
  </si>
  <si>
    <t>5. CONVERGENCIA REGIONAL / F. EFICIENCIA INSTITUCIONAL PARA EL CUMPLIMIENTO DE LOS ACUERDOS REALIZADOS CON LAS COMUNIDADES</t>
  </si>
  <si>
    <t>C-0301-1000-34-53105B</t>
  </si>
  <si>
    <t>34</t>
  </si>
  <si>
    <t>C-0301-1000-35-53105F</t>
  </si>
  <si>
    <t>35</t>
  </si>
  <si>
    <t>C-0301-1000-38-53105F</t>
  </si>
  <si>
    <t>38</t>
  </si>
  <si>
    <t>C-0301-1000-39-53105F</t>
  </si>
  <si>
    <t>39</t>
  </si>
  <si>
    <t>C-0301-1000-40-803001</t>
  </si>
  <si>
    <t>40</t>
  </si>
  <si>
    <t>803001</t>
  </si>
  <si>
    <t>8. ESTABILIDAD MACROECONÓMICA / 1. ADMINISTRACIÓN EFICIENTE DE LOS RECURSOS PÚBLICOS</t>
  </si>
  <si>
    <t>DEPARTAMENTO NACIONAL DE PLANEACION - GESTION GENERAL</t>
  </si>
  <si>
    <t>C-0399-1000-7-53105B</t>
  </si>
  <si>
    <t>0399</t>
  </si>
  <si>
    <t>7</t>
  </si>
  <si>
    <t>C-0399-1000-8-53105B</t>
  </si>
  <si>
    <t>8</t>
  </si>
  <si>
    <t>C-0399-1000-9-53105B</t>
  </si>
  <si>
    <t>9</t>
  </si>
  <si>
    <t>FUNCIONAMIENTO</t>
  </si>
  <si>
    <t>SERVICIO A LA DEUDA</t>
  </si>
  <si>
    <t>INVERSIÓN</t>
  </si>
  <si>
    <t>TOTALES</t>
  </si>
  <si>
    <t>FECHA GENERACION</t>
  </si>
  <si>
    <t>ANO_FISCAL</t>
  </si>
  <si>
    <t>VIGENCIA</t>
  </si>
  <si>
    <t>UNIDAD/SUB UNIDAD</t>
  </si>
  <si>
    <t>NOMBRE UNIDAD/SUB UNIDAD</t>
  </si>
  <si>
    <t>DEP GASTO</t>
  </si>
  <si>
    <t>DESCRIPCION DEP GASTO</t>
  </si>
  <si>
    <t>RUBRO PPTAL</t>
  </si>
  <si>
    <t>RECURSO</t>
  </si>
  <si>
    <t>APR, INICIAL</t>
  </si>
  <si>
    <t>APR, ADICIONADA</t>
  </si>
  <si>
    <t>APR, REDUCIDA</t>
  </si>
  <si>
    <t>CREDITOS</t>
  </si>
  <si>
    <t>CONTRACREDITOS</t>
  </si>
  <si>
    <t>APR, VIGENTE</t>
  </si>
  <si>
    <t>APR, DISPONIBLE</t>
  </si>
  <si>
    <t>PAGO</t>
  </si>
  <si>
    <t>MODIFICACIONES PPTALES SIN APROBACION</t>
  </si>
  <si>
    <t>MODIFICACIONES PPTALES APROBADAS</t>
  </si>
  <si>
    <t>FORMULA 1</t>
  </si>
  <si>
    <t>FORMULA 2</t>
  </si>
  <si>
    <t>2024-02-16 09:43:51</t>
  </si>
  <si>
    <t>000</t>
  </si>
  <si>
    <t>DNP GESTION GENERAL</t>
  </si>
  <si>
    <t>RECURSOS CORRIENTES</t>
  </si>
  <si>
    <t>2024-02-01 06:27:42</t>
  </si>
  <si>
    <t>03-01-01-000</t>
  </si>
  <si>
    <t>1101</t>
  </si>
  <si>
    <t>DIRECCION GENERAL - DG</t>
  </si>
  <si>
    <t>A-02-02-02-008-002</t>
  </si>
  <si>
    <t>SERVICIOS JURÍDICOS Y CONTABLES</t>
  </si>
  <si>
    <t>A-02-02-02-008-003</t>
  </si>
  <si>
    <t>SERVICIOS PROFESIONALES, CIENTÍFICOS Y TÉCNICOS (EXCEPTO LOS SERVICIOS DE INVESTIGACION, URBANISMO, JURÍDICOS Y DE CONTABILIDAD)</t>
  </si>
  <si>
    <t>A-02-02-02-008-005</t>
  </si>
  <si>
    <t>SERVICIOS DE SOPORTE</t>
  </si>
  <si>
    <t>C-0301-1000-35-53105F-0301014-02</t>
  </si>
  <si>
    <t>ADQUIS. DE BYS - DOCUMENTOS DE ANÁLISIS DE COYUNTURA Y PROSPECTIVA SECTORIAL - MODERNIZACION DE LA VISION DE LARGO PLAZO EN LA PLANEACION INTERSECTORIAL A NIVEL NACIONAL</t>
  </si>
  <si>
    <t>OTROS RECURSOS DEL TESORO</t>
  </si>
  <si>
    <t>1103</t>
  </si>
  <si>
    <t>OFICINA ASESORA JURIDICA - OAJ</t>
  </si>
  <si>
    <t>C-0399-1000-9-53105B-0399054-02</t>
  </si>
  <si>
    <t>ADQUIS. DE BYS - DOCUMENTOS DE LINEAMIENTOS TÉCNICOS - FORTALECIMIENTO INSTITUCIONAL DE LA PLANEACIÓN, GESTIÓN Y EVALUACIÓN DEL DNP A NIVEL NACIONAL</t>
  </si>
  <si>
    <t>1104</t>
  </si>
  <si>
    <t>OFICINA DE TECNOLOGÍAS Y SISTEMAS DE INFORMACIÓN - OTSI</t>
  </si>
  <si>
    <t>C-0399-1000-8-53105B-0399064-02</t>
  </si>
  <si>
    <t>ADQUIS. DE BYS - SERVICIOS DE INFORMACION IMPLEMENTADOS - FORTALECIMIENTO DE LAS TIC PARA EL CUMPLIMIENTO DE LOS OBJETIVOS DEL DNP A NIVEL NACIONAL</t>
  </si>
  <si>
    <t>C-0399-1000-8-53105B-0399065-02</t>
  </si>
  <si>
    <t>ADQUIS. DE BYS - DOCUMENTO PARA LA PLANEACION ESTRATEGICA EN TI - FORTALECIMIENTO DE LAS TIC PARA EL CUMPLIMIENTO DE LOS OBJETIVOS DEL DNP A NIVEL NACIONAL</t>
  </si>
  <si>
    <t>C-0399-1000-8-53105B-0399066-02</t>
  </si>
  <si>
    <t>ADQUIS. DE BYS - SERVICIOS TECNOLOGICOS - FORTALECIMIENTO DE LAS TIC PARA EL CUMPLIMIENTO DE LOS OBJETIVOS DEL DNP A NIVEL NACIONAL</t>
  </si>
  <si>
    <t>1105</t>
  </si>
  <si>
    <t>OFICINA ASESORA DE COMUNICACIONES - OAC</t>
  </si>
  <si>
    <t>A-02-01-01-006-002</t>
  </si>
  <si>
    <t>PRODUCTOS DE LA PROPIEDAD INTELECTUAL</t>
  </si>
  <si>
    <t>A-02-02-02-008-009</t>
  </si>
  <si>
    <t>OTROS SERVICIOS DE FABRICACIÓN; SERVICIOS DE EDICIÓN, IMPRESIÓN Y REPRODUCCIÓN; SERVICIOS DE RECUPERACIÓN DE MATERIALES</t>
  </si>
  <si>
    <t>1106</t>
  </si>
  <si>
    <t>OFICINA DE CONTROL INTERNO - OCI</t>
  </si>
  <si>
    <t>C-0399-1000-9-53105B-0399073-02</t>
  </si>
  <si>
    <t>ADQUIS. DE BYS - SERVICIO DE ACTUALIZACIÓN DEL SISTEMA DE GESTIÓN - FORTALECIMIENTO INSTITUCIONAL DE LA PLANEACIÓN, GESTIÓN Y EVALUACIÓN DEL DNP A NIVEL NACIONAL</t>
  </si>
  <si>
    <t>1109</t>
  </si>
  <si>
    <t>GRUPO CONPES - GCON</t>
  </si>
  <si>
    <t>C-0301-1000-35-53105F-0301025-02</t>
  </si>
  <si>
    <t>ADQUIS. DE BYS - SERVICIO DE INFORMACIÓN ACTUALIZADO - MODERNIZACION DE LA VISION DE LARGO PLAZO EN LA PLANEACION INTERSECTORIAL A NIVEL NACIONAL</t>
  </si>
  <si>
    <t>C-0301-1000-35-53105F-0301041-02</t>
  </si>
  <si>
    <t>ADQUIS. DE BYS - SERVICIO DE COORDINACIÓN Y ARTICULACIÓN EN LA FORMULACIÓN DE INSTRUMENTOS DE PLANEACIÓN - MODERNIZACION DE LA VISION DE LARGO PLAZO EN LA PLANEACION INTERSECTORIAL A NIVEL NACIONAL</t>
  </si>
  <si>
    <t>1110</t>
  </si>
  <si>
    <t>OFICINA ASESORA DE PLANEACIÓN - OAP</t>
  </si>
  <si>
    <t>1201</t>
  </si>
  <si>
    <t>SUBDIRECCIÓN GENERAL DE PROSPECTIVA Y DESARROLLO NACIONAL - SGPDN</t>
  </si>
  <si>
    <t>C-0301-1000-33-53105F-0301033-02</t>
  </si>
  <si>
    <t>ADQUIS. DE BYS - DOCUMENTOS DE ESTUDIOS TÉCNICOS - FORTALECIMIENTO DEL CICLO DE LAS POLITICAS PUBLICAS SECTORIALES E INTERSECTORIALES PARA EL DESARROLLO NACIONAL</t>
  </si>
  <si>
    <t>C-0301-1000-33-53105F-0301035-02</t>
  </si>
  <si>
    <t>ADQUIS. DE BYS - SERVICIO DE SEGUIMIENTO A INSTRUMENTOS DE PLANEACIÓN - FORTALECIMIENTO DEL CICLO DE LAS POLITICAS PUBLICAS SECTORIALES E INTERSECTORIALES PARA EL DESARROLLO NACIONAL</t>
  </si>
  <si>
    <t>1203</t>
  </si>
  <si>
    <t>DIRECCIÓN DE AMBIENTE Y DESARROLLO SOSTENIBLE - DADS</t>
  </si>
  <si>
    <t>C-0301-1000-33-53105F-0301003-02</t>
  </si>
  <si>
    <t>ADQUIS. DE BYS - DOCUMENTOS DE LINEAMIENTOS TÉCNICOS - FORTALECIMIENTO DEL CICLO DE LAS POLITICAS PUBLICAS SECTORIALES E INTERSECTORIALES PARA EL DESARROLLO NACIONAL</t>
  </si>
  <si>
    <t>1208</t>
  </si>
  <si>
    <t>DIRECCION DE INFRAESTRUCTURA Y ENERGIA SOSTENIBLE - DIES</t>
  </si>
  <si>
    <t>1209</t>
  </si>
  <si>
    <t>DIRECCION DE DESARROLLO SOCIAL - DDS</t>
  </si>
  <si>
    <t>C-0301-1000-39-53105F-0301003-02</t>
  </si>
  <si>
    <t>ADQUIS. DE BYS - DOCUMENTOS DE LINEAMIENTOS TÉCNICOS - 5. CONVERGENCIA REGIONAL / F. EFICIENCIA INSTITUCIONAL PARA EL CUMPLIMIENTO DE LOS ACUERDOS REALIZADOS CON LAS COMUNIDADES</t>
  </si>
  <si>
    <t>C-0301-1000-39-53105F-0301024-02</t>
  </si>
  <si>
    <t>ADQUIS. DE BYS - SERVICIO DE INFORMACIÓN IMPLEMENTADO - 5. CONVERGENCIA REGIONAL / F. EFICIENCIA INSTITUCIONAL PARA EL CUMPLIMIENTO DE LOS ACUERDOS REALIZADOS CON LAS COMUNIDADES</t>
  </si>
  <si>
    <t>C-0301-1000-39-53105F-0301027-02</t>
  </si>
  <si>
    <t>ADQUIS. DE BYS - SERVICIO DE ASISTENCIA TÉCNICA - 5. CONVERGENCIA REGIONAL / F. EFICIENCIA INSTITUCIONAL PARA EL CUMPLIMIENTO DE LOS ACUERDOS REALIZADOS CON LAS COMUNIDADES</t>
  </si>
  <si>
    <t>C-0301-1000-39-53105F-0301035-02</t>
  </si>
  <si>
    <t>ADQUIS. DE BYS - SERVICIO DE SEGUIMIENTO A INSTRUMENTOS DE PLANEACIÓN - 5. CONVERGENCIA REGIONAL / F. EFICIENCIA INSTITUCIONAL PARA EL CUMPLIMIENTO DE LOS ACUERDOS REALIZADOS CON LAS COMUNIDADES</t>
  </si>
  <si>
    <t>C-0301-1000-39-53105F-0301040-02</t>
  </si>
  <si>
    <t>ADQUIS. DE BYS - SERVICIO DE ANALÍTICA Y USO DE LA INFORMACIÓN - 5. CONVERGENCIA REGIONAL / F. EFICIENCIA INSTITUCIONAL PARA EL CUMPLIMIENTO DE LOS ACUERDOS REALIZADOS CON LAS COMUNIDADES</t>
  </si>
  <si>
    <t>C-0301-1000-39-53105F-0301041-02</t>
  </si>
  <si>
    <t>ADQUIS. DE BYS - SERVICIO DE COORDINACIÓN Y ARTICULACIÓN EN LA FORMULACIÓN DE INSTRUMENTOS DE PLANEACIÓN - 5. CONVERGENCIA REGIONAL / F. EFICIENCIA INSTITUCIONAL PARA EL CUMPLIMIENTO DE LOS ACUERDOS REALIZADOS CON LAS COMUNIDADES</t>
  </si>
  <si>
    <t>1210</t>
  </si>
  <si>
    <t>DIRECCION DE DESARROLLO RURAL SOSTENIBLE - DDRS</t>
  </si>
  <si>
    <t>1211</t>
  </si>
  <si>
    <t>DIRECCIÓN DE GOBIERNO, DDHH Y PAZ - DGDHP</t>
  </si>
  <si>
    <t>1212</t>
  </si>
  <si>
    <t>DIRECCIÓN DE JUSTICIA, SEGURIDAD Y DEFENSA - DJSD</t>
  </si>
  <si>
    <t>1213</t>
  </si>
  <si>
    <t>DIRECCIÓN DE INNOVACIÓN Y DESARROLLO EMPRESARIAL - DIDE</t>
  </si>
  <si>
    <t>1214</t>
  </si>
  <si>
    <t>DIRECCION DE DESARROLLO URBANO - DDU</t>
  </si>
  <si>
    <t>1220</t>
  </si>
  <si>
    <t>DIRECCIÓN DE ECONOMÍA NARANJA Y DESARROLLO DIGITAL - DENDD</t>
  </si>
  <si>
    <t>1301</t>
  </si>
  <si>
    <t>SECRETARIA GENERAL - SG</t>
  </si>
  <si>
    <t>1304</t>
  </si>
  <si>
    <t>SUBDIRECCIÓN ADMINISTRATIVA Y RELACIONAMIENTO CON LA CIUDADANÍA-SARC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</si>
  <si>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</si>
  <si>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</si>
  <si>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</si>
  <si>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</si>
  <si>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A-02-02-01-003-008</t>
  </si>
  <si>
    <t>OTROS BIENES TRANSPORTABLES N.C.P.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</si>
  <si>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</si>
  <si>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</si>
  <si>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</si>
  <si>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</si>
  <si>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</si>
  <si>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</si>
  <si>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</si>
  <si>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</si>
  <si>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</si>
  <si>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</si>
  <si>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</si>
  <si>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</si>
  <si>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A-02-02-02-008-004</t>
  </si>
  <si>
    <t>SERVICIOS DE TELECOMUNICACIONES, TRANSMISIÓN Y SUMINISTRO DE INFORMACIÓN</t>
  </si>
  <si>
    <t>A-02-02-02-008-007</t>
  </si>
  <si>
    <t>SERVICIOS DE MANTENIMIENTO, REPARACIÓN E INSTALACIÓN (EXCEPTO SERVICIOS DE CONSTRUCCIÓN)</t>
  </si>
  <si>
    <t>A-02-02-02-009-004</t>
  </si>
  <si>
    <t>SERVICIOS DE ALCANTARILLADO, RECOLECCIÓN, TRATAMIENTO Y DISPOSICIÓN DE DESECHOS Y OTROS SERVICIOS DE SANEAMIENTO AMBIENTAL</t>
  </si>
  <si>
    <t>A-02-02-02-009-007</t>
  </si>
  <si>
    <t>OTROS SERVICIOS</t>
  </si>
  <si>
    <t>A-02-02-02-010</t>
  </si>
  <si>
    <t>VIÁTICOS DE LOS FUNCIONARIOS EN COMISIÓN</t>
  </si>
  <si>
    <t>A-08-01-02-001</t>
  </si>
  <si>
    <t>IMPUESTO PREDIAL Y SOBRETASA AMBIENTAL</t>
  </si>
  <si>
    <t>A-08-01-02-006</t>
  </si>
  <si>
    <t>IMPUESTO SOBRE VEHÍCULOS AUTOMOTORES</t>
  </si>
  <si>
    <t>C-0399-1000-7-53105B-0399011-02</t>
  </si>
  <si>
    <t>ADQUIS. DE BYS - SEDES ADECUADAS - ADQUISICIÓN Y ADECUACIÓN DE ESPACIOS FÍSICOS DEL DEPARTAMENTO NACIONAL DE PLANEACIÓN NACIONAL</t>
  </si>
  <si>
    <t>C-0399-1000-7-53105B-0399015-02</t>
  </si>
  <si>
    <t>ADQUIS. DE BYS - SEDES ADQUIRIDAS - ADQUISICIÓN Y ADECUACIÓN DE ESPACIOS FÍSICOS DEL DEPARTAMENTO NACIONAL DE PLANEACIÓN NACIONAL</t>
  </si>
  <si>
    <t>1305</t>
  </si>
  <si>
    <t>SUBDIRECCION FINANCIERA - SF</t>
  </si>
  <si>
    <t>A-02-02-01-004-005</t>
  </si>
  <si>
    <t>MAQUINARIA DE OFICINA, CONTABILIDAD E INFORMÁTICA</t>
  </si>
  <si>
    <t>A-02-02-01-004-007</t>
  </si>
  <si>
    <t>EQUIPO Y APARATOS DE RADIO, TELEVISIÓN Y COMUNICACIONES</t>
  </si>
  <si>
    <t>A-02-02-02-009-003</t>
  </si>
  <si>
    <t>SERVICIOS PARA EL CUIDADO DE LA SALUD HUMANA Y SERVICIOS SOCIALES</t>
  </si>
  <si>
    <t>1306</t>
  </si>
  <si>
    <t>SUBDIRECCIÓN DE GESTIÓN DEL TALENTO HUMANO - SGTH</t>
  </si>
  <si>
    <t>A-01-01-01-001-001</t>
  </si>
  <si>
    <t>SUELDO BÁSICO</t>
  </si>
  <si>
    <t>A-01-01-01-001-002</t>
  </si>
  <si>
    <t>GASTOS DE REPRESENTACIÓN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</si>
  <si>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</si>
  <si>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</si>
  <si>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</si>
  <si>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</si>
  <si>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</si>
  <si>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</si>
  <si>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</si>
  <si>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</si>
  <si>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</si>
  <si>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</si>
  <si>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</si>
  <si>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EXTRAS, DOMINICALES, FESTIVOS Y RECARGOS</t>
  </si>
  <si>
    <t>A-01-01-01-001-009</t>
  </si>
  <si>
    <t>PRIMA DE NAVIDAD</t>
  </si>
  <si>
    <t>A-01-01-01-001-010</t>
  </si>
  <si>
    <t>PRIMA DE VACACIONES</t>
  </si>
  <si>
    <t>A-01-01-01-002-013</t>
  </si>
  <si>
    <t>PRIMA ESPECIAL</t>
  </si>
  <si>
    <t>A-01-01-02-001</t>
  </si>
  <si>
    <t>APORTES A LA SEGURIDAD SOCIAL EN PENSIONES</t>
  </si>
  <si>
    <t>A-01-01-02-002</t>
  </si>
  <si>
    <t>APORTES A LA SEGURIDAD SOCIAL EN SALUD</t>
  </si>
  <si>
    <t>A-01-01-02-003</t>
  </si>
  <si>
    <t>AUXILIO DE CESANTÍAS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</si>
  <si>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</si>
  <si>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</si>
  <si>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</si>
  <si>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</si>
  <si>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</si>
  <si>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</si>
  <si>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</si>
  <si>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</si>
  <si>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A-01-01-02-008</t>
  </si>
  <si>
    <t>APORTES A LA ESAP</t>
  </si>
  <si>
    <t>A-01-01-02-009</t>
  </si>
  <si>
    <t>APORTES A ESCUELAS INDUSTRIALES E INSTITUTOS TÉCNICOS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</si>
  <si>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</si>
  <si>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</si>
  <si>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</si>
  <si>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</si>
  <si>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</si>
  <si>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</si>
  <si>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</si>
  <si>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</si>
  <si>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A-01-01-03-005</t>
  </si>
  <si>
    <t>PRIMA DE RIESGO</t>
  </si>
  <si>
    <t>A-01-01-03-009</t>
  </si>
  <si>
    <t>PRIMA DE COSTO DE VIDA</t>
  </si>
  <si>
    <t>A-01-01-03-016</t>
  </si>
  <si>
    <t>PRIMA DE COORDINACIÓN</t>
  </si>
  <si>
    <t>A-01-01-03-030</t>
  </si>
  <si>
    <t>BONIFICACIÓN DE DIRECCIÓN</t>
  </si>
  <si>
    <t>A-02-02-01-002-008</t>
  </si>
  <si>
    <t>DOTACIÓN (PRENDAS DE VESTIR Y CALZADO)</t>
  </si>
  <si>
    <t>A-02-02-01-003-005</t>
  </si>
  <si>
    <t>OTROS PRODUCTOS QUÍMICOS; FIBRAS ARTIFICIALES (O FIBRAS INDUSTRIALES HECHAS POR EL HOMBRE)</t>
  </si>
  <si>
    <t>A-02-02-02-009-002</t>
  </si>
  <si>
    <t>SERVICIOS DE EDUCACIÓN</t>
  </si>
  <si>
    <t>A-02-02-02-009-006</t>
  </si>
  <si>
    <t>SERVICIOS RECREATIVOS, CULTURALES Y DEPORTIVOS</t>
  </si>
  <si>
    <t>A-03-04-02-001-002</t>
  </si>
  <si>
    <t>MESADAS PENSIONALES A CARGO DE LA ENTIDAD (DE PENSIONES)</t>
  </si>
  <si>
    <t>A-03-04-02-002-002</t>
  </si>
  <si>
    <t>CUOTAS PARTES PENSIONALES A CARGO DE LA ENTIDAD (DE PENSIONES)</t>
  </si>
  <si>
    <t>A-03-04-02-004-002</t>
  </si>
  <si>
    <t>BONOS PENSIONALES A CARGO DE LA ENTIDAD (DE PENSIONES)</t>
  </si>
  <si>
    <t>A-03-04-02-012-001</t>
  </si>
  <si>
    <t>INCAPACIDADES (NO DE PENSIONES)</t>
  </si>
  <si>
    <t>C-0399-1000-9-53105B-0399059-02</t>
  </si>
  <si>
    <t>ADQUIS. DE BYS - SERVICIO DE EDUCACIÓN INFORMAL PARA LA GESTIÓN ADMINISTRATIVA - FORTALECIMIENTO INSTITUCIONAL DE LA PLANEACIÓN, GESTIÓN Y EVALUACIÓN DEL DNP A NIVEL NACIONAL</t>
  </si>
  <si>
    <t>1308</t>
  </si>
  <si>
    <t>SUBDIRECCIÓN DE CONTRATACIÓN - SCT</t>
  </si>
  <si>
    <t>1701</t>
  </si>
  <si>
    <t>SUBDIRECCIÓN GENERAL DE DESCENTRALIZACIÓN Y DESARROLLO TERRITORIAL - SGDDT</t>
  </si>
  <si>
    <t>C-0301-1000-34-53105B-0301003-02</t>
  </si>
  <si>
    <t>ADQUIS. DE BYS - DOCUMENTOS DE LINEAMIENTOS TÉCNICOS - MEJORAMIENTO DE LOS RESULTADOS DE LA GESTION PUBLICA TERRITORIAL A NIVEL NACIONAL</t>
  </si>
  <si>
    <t>C-0301-1000-34-53105B-0301040-02</t>
  </si>
  <si>
    <t>ADQUIS. DE BYS - SERVICIO DE ANALÍTICA Y USO DE LA INFORMACIÓN - MEJORAMIENTO DE LOS RESULTADOS DE LA GESTION PUBLICA TERRITORIAL A NIVEL NACIONAL</t>
  </si>
  <si>
    <t>1702</t>
  </si>
  <si>
    <t>DIRECCIÓN DE DESCENTRALIZACIÓN Y FORTALECIMIENTO FISCAL - DDFF</t>
  </si>
  <si>
    <t>C-0301-1000-34-53105B-0301024-02</t>
  </si>
  <si>
    <t>ADQUIS. DE BYS - SERVICIO DE INFORMACIÓN IMPLEMENTADO - MEJORAMIENTO DE LOS RESULTADOS DE LA GESTION PUBLICA TERRITORIAL A NIVEL NACIONAL</t>
  </si>
  <si>
    <t>C-0301-1000-34-53105B-0301027-02</t>
  </si>
  <si>
    <t>ADQUIS. DE BYS - SERVICIO DE ASISTENCIA TÉCNICA - MEJORAMIENTO DE LOS RESULTADOS DE LA GESTION PUBLICA TERRITORIAL A NIVEL NACIONAL</t>
  </si>
  <si>
    <t>C-0301-1000-34-53105B-0301041-02</t>
  </si>
  <si>
    <t>ADQUIS. DE BYS - SERVICIO DE COORDINACIÓN Y ARTICULACIÓN EN LA FORMULACIÓN DE INSTRUMENTOS DE PLANEACIÓN - MEJORAMIENTO DE LOS RESULTADOS DE LA GESTION PUBLICA TERRITORIAL A NIVEL NACIONAL</t>
  </si>
  <si>
    <t>1703</t>
  </si>
  <si>
    <t>DIRECCIÓN DE ORDENAMIENTO Y DESARROLLO TERRITORIAL - DODT</t>
  </si>
  <si>
    <t>1704</t>
  </si>
  <si>
    <t>DIRECCIÓN DE ESTRATEGIA REGIONAL - DER</t>
  </si>
  <si>
    <t>1901</t>
  </si>
  <si>
    <t>SUBDIRECCIÓN GENERAL DE INVERSIONES, SEGUIMIENTO Y EVALUACIÓN - SGISE</t>
  </si>
  <si>
    <t>C-0301-1000-18-51102E-0301021-03</t>
  </si>
  <si>
    <t>TRANSF. CTES. - SERVICIO DE APOYO FINANCIERO A PROYECTOS DE INVERSIÓN - APOYO AL DESARROLLO DE PROYECTOS A TRAVÉS DEL FONDO REGIONAL PARA LOS CONTRATOS PLAN. NACIONAL</t>
  </si>
  <si>
    <t>C-0301-1000-40-803001-0301022-02</t>
  </si>
  <si>
    <t>ADQUIS. DE BYS - SERVICIO DE APOYO PARA LA INTEGRACIÓN REGIONAL - FORTALECIMIENTO DE LA GESTIÓN DE LA INVERSIÓN PÚBLICA A NIVEL TERRITORIAL Y NACIONAL</t>
  </si>
  <si>
    <t>C-0301-1000-40-803001-0301025-02</t>
  </si>
  <si>
    <t>ADQUIS. DE BYS - SERVICIO DE INFORMACIÓN ACTUALIZADO - FORTALECIMIENTO DE LA GESTIÓN DE LA INVERSIÓN PÚBLICA A NIVEL TERRITORIAL Y NACIONAL</t>
  </si>
  <si>
    <t>C-0301-1000-40-803001-0301027-02</t>
  </si>
  <si>
    <t>ADQUIS. DE BYS - SERVICIO DE ASISTENCIA TÉCNICA - FORTALECIMIENTO DE LA GESTIÓN DE LA INVERSIÓN PÚBLICA A NIVEL TERRITORIAL Y NACIONAL</t>
  </si>
  <si>
    <t>C-0301-1000-40-803001-0301042-02</t>
  </si>
  <si>
    <t>ADQUIS. DE BYS - SERVICIO DE SEGUIMIENTO - FORTALECIMIENTO DE LA GESTIÓN DE LA INVERSIÓN PÚBLICA A NIVEL TERRITORIAL Y NACIONAL</t>
  </si>
  <si>
    <t>1902</t>
  </si>
  <si>
    <t>DIRECCIÓN DE PROYECTOS E INFORMACIÓN PARA LA INVERSIÓN - DPII</t>
  </si>
  <si>
    <t>C-0301-1000-40-803001-0301002-02</t>
  </si>
  <si>
    <t>ADQUIS. DE BYS - DOCUMENTOS METODOLÓGICOS - FORTALECIMIENTO DE LA GESTIÓN DE LA INVERSIÓN PÚBLICA A NIVEL TERRITORIAL Y NACIONAL</t>
  </si>
  <si>
    <t>1903</t>
  </si>
  <si>
    <t>DIRECCIÓN DE PROGRAMACIÓN DE INVERSIONES PÚBLICAS - DPIP</t>
  </si>
  <si>
    <t>C-0301-1000-40-803001-0301048-02</t>
  </si>
  <si>
    <t>ADQUIS. DE BYS - SERVICIO DE GESTIÓN DE PROCESOS PRESUPUESTALES ASOCIADOS A LA INVERSIÓN PÚBLICA - FORTALECIMIENTO DE LA GESTIÓN DE LA INVERSIÓN PÚBLICA A NIVEL TERRITORIAL Y NACIONAL</t>
  </si>
  <si>
    <t>1904</t>
  </si>
  <si>
    <t>DIRECCION DE ESTUDIOS ECONOMICOS - DEE</t>
  </si>
  <si>
    <t>1905</t>
  </si>
  <si>
    <t>DIRECCIÓN DE SEGUIMIENTO Y EVALUACIÓN DE POLÍTICAS PÚBLICAS - DSEPP</t>
  </si>
  <si>
    <t>C-0301-1000-38-53105F-0301003-02</t>
  </si>
  <si>
    <t>ADQUIS. DE BYS - DOCUMENTOS DE LINEAMIENTOS TÉCNICOS - APROVECHAMIENTO DE LA INFORMACIÓN DEL SEGUIMIENTO Y LA EVALUACIÓN DE POLÍTICAS PÚBLICAS PARA LA TOMA DE DECISIONES BASADAS EN EVIDENCIA, A NIVEL NACIONAL</t>
  </si>
  <si>
    <t>C-0301-1000-38-53105F-0301008-02</t>
  </si>
  <si>
    <t>ADQUIS. DE BYS - SERVICIO DE SEGUIMIENTO A INSTRUMENTOS DE PLANEACIÓN - APROVECHAMIENTO DE LA INFORMACIÓN DEL SEGUIMIENTO Y LA EVALUACIÓN DE POLÍTICAS PÚBLICAS PARA LA TOMA DE DECISIONES BASADAS EN EVIDENCIA, A NIVEL NACIONAL</t>
  </si>
  <si>
    <t>C-0301-1000-38-53105F-0301009-02</t>
  </si>
  <si>
    <t>ADQUIS. DE BYS - SERVICIO DE EVALUACIÓN A LA POLÍTICA PÚBLICA - APROVECHAMIENTO DE LA INFORMACIÓN DEL SEGUIMIENTO Y LA EVALUACIÓN DE POLÍTICAS PÚBLICAS PARA LA TOMA DE DECISIONES BASADAS EN EVIDENCIA, A NIVEL NACIONAL</t>
  </si>
  <si>
    <t>C-0301-1000-38-53105F-0301024-02</t>
  </si>
  <si>
    <t>ADQUIS. DE BYS - SERVICIO DE INFORMACIÓN IMPLEMENTADO - APROVECHAMIENTO DE LA INFORMACIÓN DEL SEGUIMIENTO Y LA EVALUACIÓN DE POLÍTICAS PÚBLICAS PARA LA TOMA DE DECISIONES BASADAS EN EVIDENCIA, A NIVEL NACIONAL</t>
  </si>
  <si>
    <t>C-0301-1000-38-53105F-0301027-02</t>
  </si>
  <si>
    <t>ADQUIS. DE BYS - SERVICIO DE ASISTENCIA TÉCNICA - APROVECHAMIENTO DE LA INFORMACIÓN DEL SEGUIMIENTO Y LA EVALUACIÓN DE POLÍTICAS PÚBLICAS PARA LA TOMA DE DECISIONES BASADAS EN EVIDENCIA, A NIVEL NACIONAL</t>
  </si>
  <si>
    <t>C-0301-1000-38-53105F-0301040-02</t>
  </si>
  <si>
    <t>ADQUIS. DE BYS - SERVICIO DE ANALÍTICA Y USO DE LA INFORMACIÓN - APROVECHAMIENTO DE LA INFORMACIÓN DEL SEGUIMIENTO Y LA EVALUACIÓN DE POLÍTICAS PÚBLICAS PARA LA TOMA DE DECISIONES BASADAS EN EVIDENCIA, A NIVEL NACIONAL</t>
  </si>
  <si>
    <t>C-0301-1000-38-53105F-0301042-02</t>
  </si>
  <si>
    <t>ADQUIS. DE BYS - SERVICIO DE SEGUIMIENTO - 5. CONVERGENCIA REGIONAL / F. EFICIENCIA INSTITUCIONAL PARA EL CUMPLIMIENTO DE LOS ACUERDOS REALIZADOS CON LAS COMUNIDADES</t>
  </si>
  <si>
    <t>C-0301-1000-38-53105F-0301046-02</t>
  </si>
  <si>
    <t>ADQUIS. DE BYS - SERVICIO DE EVALUACIÓN - APROVECHAMIENTO DE LA INFORMACIÓN DEL SEGUIMIENTO Y LA EVALUACIÓN DE POLÍTICAS PÚBLICAS PARA LA TOMA DE DECISIONES BASADAS EN EVIDENCIA, A NIVEL NACIONAL</t>
  </si>
  <si>
    <t>03-01-01-042</t>
  </si>
  <si>
    <t>DNP PROGRAMA DE FORTALECIMIENTO</t>
  </si>
  <si>
    <t>C-0301-1000-20-51102E-0301030-02</t>
  </si>
  <si>
    <t>ADQUIS. DE BYS - DOCUMENTO PARA LA PLANEACIÓN ESTRATÉGICA EN TECNOLOGÍAS DE LA INFORMACIÓN - FORTALECIMIENTO DE LAS ENTIDADES TERRITORIALES NACIONAL</t>
  </si>
  <si>
    <t>PRESTAMOS DESTINACIÓN ESPECIFICA</t>
  </si>
  <si>
    <t>C-0301-1000-20-51102E-0301027-02</t>
  </si>
  <si>
    <t>ADQUIS. DE BYS - SERVICIO DE ASISTENCIA TÉCNICA - FORTALECIMIENTO DE LAS ENTIDADES TERRITORIALES NACIONAL</t>
  </si>
  <si>
    <t>03-01-01-054</t>
  </si>
  <si>
    <t>DNP CATASTRO MULTIPROPOSITO</t>
  </si>
  <si>
    <t>C-0301-1000-22-10305B-0301027-02-04011</t>
  </si>
  <si>
    <t>GESTIÓN Y COORDINACIÓN DEL PROYECTO DNP - BID</t>
  </si>
  <si>
    <t>C-0301-1000-22-10305B-0301027-02-04012</t>
  </si>
  <si>
    <t>GESTIÓN Y COORDINACIÓN DEL PROYECTO DNP - BM</t>
  </si>
  <si>
    <t>C-0301-1000-22-10305B-0301001-02-01011</t>
  </si>
  <si>
    <t>FORTALECIMIENTO INSTITUCIONAL PARA EL GOBIERNO NACIONAL - BID</t>
  </si>
  <si>
    <t>C-0301-1000-22-10305B-0301001-02-01012</t>
  </si>
  <si>
    <t>FORTALECIMIENTO INSTITUCIONAL PARA EL GOBIERNO NACIONAL - BM</t>
  </si>
  <si>
    <t>C-0301-1000-22-10305B-0301027-02-03041</t>
  </si>
  <si>
    <t>GENERACIÓN Y FORTALECIMIENTO DE CAPACIDADES INSTITUCIONALES EN ENTIDADES TERRITORIALES - BID</t>
  </si>
  <si>
    <t>C-0301-1000-22-10305B-0301027-02-03042</t>
  </si>
  <si>
    <t>GENERACIÓN Y FORTALECIMIENTO DE CAPACIDADES INSTITUCIONALES EN ENTIDADES TERRITORIALES - BM</t>
  </si>
  <si>
    <t>03-01-01-055</t>
  </si>
  <si>
    <t>DNP NUEVA POLÍTICA DE LOGÍSTICA NACIONAL</t>
  </si>
  <si>
    <t>C-0301-1000-29-52104E-0301002-02-1</t>
  </si>
  <si>
    <t>EFICIENCIA LOGÍSTICA SOPORTADA EN EL TRANSPORTE</t>
  </si>
  <si>
    <t>C-0301-1000-29-52104E-0301002-02-2</t>
  </si>
  <si>
    <t>LOGÍSTICA TERRITORIAL</t>
  </si>
  <si>
    <t>C-0301-1000-29-52104E-0301002-02-3</t>
  </si>
  <si>
    <t>COMPETITIVIDAD LOGÍSTICA Y FACILITACIÓN COMERCIAL</t>
  </si>
  <si>
    <t>C-0301-1000-29-52104E-0301002-02-5</t>
  </si>
  <si>
    <t>GESTIÓN DEL PROGRAMA</t>
  </si>
  <si>
    <t>C-0301-1000-29-52104E-0301003-02-3</t>
  </si>
  <si>
    <t>C-0301-1000-29-52104E-0301027-02-1</t>
  </si>
  <si>
    <t>C-0301-1000-29-52104E-0301027-02-2</t>
  </si>
  <si>
    <t>C-0301-1000-29-52104E-0301027-02-3</t>
  </si>
  <si>
    <t>C-0301-1000-29-52104E-0301027-02-4</t>
  </si>
  <si>
    <t>FORTALECIMIENTO Y ARTICULACIÓN INSTITUCIONAL</t>
  </si>
  <si>
    <t>C-0301-1000-29-52104E-0301027-02-5</t>
  </si>
  <si>
    <t>03-01-01-056</t>
  </si>
  <si>
    <t>DNP CONSOLIDACIÓN DE ESQUEMAS DE PARTICIPACION PRIVADA (CEPP)</t>
  </si>
  <si>
    <t>C-0301-1000-30-52104e-0301002-02-2</t>
  </si>
  <si>
    <t>FORTALECIMIENTO DE ENTIDADES PÚBLICAS POTENCIALMENTE CONCEDENTES</t>
  </si>
  <si>
    <t>C-0301-1000-30-52104e-0301002-02-3</t>
  </si>
  <si>
    <t>FORTALECIMIENTO TÉCNICO E INSTITUCIONAL DEL ORGANISMO EJECUTOR</t>
  </si>
  <si>
    <t>C-0301-1000-30-52104e-0301002-02-4</t>
  </si>
  <si>
    <t>GESTIÓN Y ADMINISTRACION DEL PROGRAMA</t>
  </si>
  <si>
    <t>C-0301-1000-30-52104e-0301003-02-4</t>
  </si>
  <si>
    <t>C-0301-1000-30-52104e-0301012-02-2</t>
  </si>
  <si>
    <t>C-0301-1000-30-52104e-0301012-02-3</t>
  </si>
  <si>
    <t>C-0301-1000-30-52104e-0301031-02-1</t>
  </si>
  <si>
    <t>FOMENTO DE LA PARTICIPACIÓN PRIVADA</t>
  </si>
  <si>
    <t>C-0301-1000-30-52104e-0301031-02-3</t>
  </si>
  <si>
    <t>C-0301-1000-30-52104e-0301031-02-4</t>
  </si>
  <si>
    <t>SUMATORIA</t>
  </si>
  <si>
    <t>INF. EJEC. INVERSIÓN</t>
  </si>
  <si>
    <t xml:space="preserve">DIFERENCIAS </t>
  </si>
  <si>
    <t>OBJETO DE GASTO</t>
  </si>
  <si>
    <t>APROPIACIÓN VIGENTE</t>
  </si>
  <si>
    <t>% DE EJECUCIÓN COMP</t>
  </si>
  <si>
    <t>OBLIGACIÓN</t>
  </si>
  <si>
    <t>% DE EJECUCIÓN OBLIG</t>
  </si>
  <si>
    <t>Funcionamiento</t>
  </si>
  <si>
    <t>Servicio de la Deuda</t>
  </si>
  <si>
    <t>Inversión</t>
  </si>
  <si>
    <t>TOTAL</t>
  </si>
  <si>
    <t>APROPIACIÓN</t>
  </si>
  <si>
    <t>Comentarios</t>
  </si>
  <si>
    <t>VIGENTE</t>
  </si>
  <si>
    <t>a-01</t>
  </si>
  <si>
    <t>Gastos de Personal</t>
  </si>
  <si>
    <t>Sueldos, prestaciones y pago parafiscales</t>
  </si>
  <si>
    <t>a-02</t>
  </si>
  <si>
    <t>Adquisición de bienes y servicios</t>
  </si>
  <si>
    <t>Servicios públicos, mantenimiento, seguros</t>
  </si>
  <si>
    <t>a-03</t>
  </si>
  <si>
    <t>Transferencias</t>
  </si>
  <si>
    <t>Mesadas, cuotas partes pensionales, bonos pensionales, incapacidades, licencias, sentencias y conciliaciones</t>
  </si>
  <si>
    <t>a-08</t>
  </si>
  <si>
    <t>Gastos por tributos</t>
  </si>
  <si>
    <t>NOMBRE   SUBDIRECCIONES GENERALES</t>
  </si>
  <si>
    <t>% 
SOBRE COMP</t>
  </si>
  <si>
    <t>% 
SOBRE OBLIG</t>
  </si>
  <si>
    <t>VIGENTE 2024</t>
  </si>
  <si>
    <t>Dirección General</t>
  </si>
  <si>
    <t>Subdirección General de Prospectiva y Desarrollo Nacional - SGPDN -</t>
  </si>
  <si>
    <t>Subdirección general de Inversiones,  Seguimiento y Evaluación</t>
  </si>
  <si>
    <t>Subdirección General de Descentralización y Desarrollo Territorial SGDDT</t>
  </si>
  <si>
    <t>Secretaría General</t>
  </si>
  <si>
    <t>Por desagregar</t>
  </si>
  <si>
    <t>C-0301-1000-20-51102E 5. CONVERGENCIA REGIONAL / E. PLANEACIÓN Y GESTIÓN TERRITORIAL INTELIGENTE
(Recurso 13)</t>
  </si>
  <si>
    <t>C-0301-1000-18-51102E 5. CONVERGENCIA REGIONAL / E. PLANEACIÓN Y GESTIÓN TERRITORIAL INTELIGENTE (Solicitud de Traslado)</t>
  </si>
  <si>
    <t>TOTAL PRESUPUESTO DE INVERSIÓN</t>
  </si>
  <si>
    <t>verifición vs ejecución agregada</t>
  </si>
  <si>
    <t>Programa/
Subprograma</t>
  </si>
  <si>
    <t>Código Proyecto</t>
  </si>
  <si>
    <t>Nombre del Proyecto de Inversión</t>
  </si>
  <si>
    <t>Recurso</t>
  </si>
  <si>
    <t>Apropiación 2023</t>
  </si>
  <si>
    <t>Compromisos</t>
  </si>
  <si>
    <t>% Comp</t>
  </si>
  <si>
    <t>Obligaciones</t>
  </si>
  <si>
    <t>%  Oblig</t>
  </si>
  <si>
    <t xml:space="preserve">MEJORAMIENTO DE LA PLANEACIÓN TERRITORIAL, SECTORIAL Y DE INVERSIÓN PÚBLICA
</t>
  </si>
  <si>
    <t xml:space="preserve">Crédito </t>
  </si>
  <si>
    <t xml:space="preserve"> Nación  </t>
  </si>
  <si>
    <t xml:space="preserve">Nación  </t>
  </si>
  <si>
    <t>SUBTOTAL  MEJORAMIENTO DE LA PLANEACIÓN TERRITORIAL, SECTORIAL Y DE INVERSIÓN PÚBLICA</t>
  </si>
  <si>
    <t xml:space="preserve">PLANIFICACIÓN Y ESTADÍSTICA
</t>
  </si>
  <si>
    <t>SUBTOTAL PLANIFICACIÓN Y ESTADÍSTICA</t>
  </si>
  <si>
    <t xml:space="preserve">FORTALECIMIENTO DE LA GESTIÓN Y DIRECCIÓN DEL SECTOR PLANEACIÓN
</t>
  </si>
  <si>
    <t>SUBTOTAL FORTALECIMIENTO DE LA GESTIÓN Y DIRECCIÓN DEL SECTOR PLANEACIÓN</t>
  </si>
  <si>
    <t>TOTAL DEPARTAMENTO NACIONAL DE PLANEACIÓN</t>
  </si>
  <si>
    <t>Subdirección General de Descentralización y Desarrollo Territorial - SGDDT</t>
  </si>
  <si>
    <t>0-45</t>
  </si>
  <si>
    <t>ROJO</t>
  </si>
  <si>
    <t>46-70</t>
  </si>
  <si>
    <t>NARANJA</t>
  </si>
  <si>
    <t>Cifras en millones de pesos</t>
  </si>
  <si>
    <t>71-100</t>
  </si>
  <si>
    <t>VERDE</t>
  </si>
  <si>
    <t>Dependencia que se financia por el proyecto</t>
  </si>
  <si>
    <t>Dependencia responsable Gerencia</t>
  </si>
  <si>
    <t>Gerente de Proyecto</t>
  </si>
  <si>
    <t>Valor proyecto</t>
  </si>
  <si>
    <t>OBLIGADO</t>
  </si>
  <si>
    <t>Apropiación Vigente 2023</t>
  </si>
  <si>
    <t>Compromiso</t>
  </si>
  <si>
    <t>% 
Comp</t>
  </si>
  <si>
    <t>Obligación</t>
  </si>
  <si>
    <t>% 
 Oblig</t>
  </si>
  <si>
    <t>Dependencia</t>
  </si>
  <si>
    <t>Proyectos que financian la dependencia</t>
  </si>
  <si>
    <t>Subtotal asignado 2023</t>
  </si>
  <si>
    <t>Total asignado 2023</t>
  </si>
  <si>
    <t>Participación</t>
  </si>
  <si>
    <t>MEJORAMIENTO DE LA PLANEACIÓN TERRITORIAL, SECTORIAL Y DE INVERSIÓN PÚBLICA</t>
  </si>
  <si>
    <t>DER</t>
  </si>
  <si>
    <r>
      <rPr>
        <b/>
        <sz val="10"/>
        <rFont val="Verdana"/>
        <family val="2"/>
      </rPr>
      <t>DDFF</t>
    </r>
    <r>
      <rPr>
        <sz val="10"/>
        <rFont val="Verdana"/>
        <family val="2"/>
      </rPr>
      <t xml:space="preserve">
Dir. Descentralizac. y Fortalecimiento Fiscal
</t>
    </r>
  </si>
  <si>
    <t>Jhovana Constanza Rojas</t>
  </si>
  <si>
    <t>DDFF</t>
  </si>
  <si>
    <t>FORTALECIMIENTO DE LAS ENTIDADES TERRITORIALES   NACIONAL</t>
  </si>
  <si>
    <t>MEJORAMIENTO DE LOS RESULTADOS DE LA GESTION PUBLICA TERRITORIAL A NIVEL   NACIONAL</t>
  </si>
  <si>
    <t>DODT</t>
  </si>
  <si>
    <t>Proyecto en formulación, continuación PFET, . (Recurso 13) (Pendiente autorización cambio Recurso -  MHCP)</t>
  </si>
  <si>
    <t>SUBTOTAL GESTIÓN TERRITORIAL INTELIGENTE (PFET)</t>
  </si>
  <si>
    <t>DODT
Dir. De Ordenamiento y Dllo Territorial</t>
  </si>
  <si>
    <r>
      <rPr>
        <b/>
        <sz val="10"/>
        <color theme="1"/>
        <rFont val="Verdana"/>
        <family val="2"/>
      </rPr>
      <t xml:space="preserve">DODT
</t>
    </r>
    <r>
      <rPr>
        <sz val="10"/>
        <color theme="1"/>
        <rFont val="Verdana"/>
        <family val="2"/>
      </rPr>
      <t xml:space="preserve">
Dir. De Ordenamiento y Dllo Territorial</t>
    </r>
  </si>
  <si>
    <t>Antonio José Avendaño Arosemena</t>
  </si>
  <si>
    <t>SUBTOTAL  ACTUALIZACIÓN CATASTRAL MULTIPROPÓSITO
(Catastro Multipropósito)</t>
  </si>
  <si>
    <r>
      <rPr>
        <b/>
        <sz val="10"/>
        <color theme="1"/>
        <rFont val="Verdana"/>
        <family val="2"/>
      </rPr>
      <t xml:space="preserve">SGDDT 
</t>
    </r>
    <r>
      <rPr>
        <sz val="10"/>
        <color theme="1"/>
        <rFont val="Verdana"/>
        <family val="2"/>
      </rPr>
      <t xml:space="preserve">
 Sub. Gral de Descentralización y Dllo Territorial</t>
    </r>
  </si>
  <si>
    <t xml:space="preserve">Hugo Fernando Guerra Urrego </t>
  </si>
  <si>
    <t>SUBTOTAL  ENTIDADES PÚBLICAS TERRITORIALES Y NACIONALES FORTALECIDAS (Gestión Territorial)</t>
  </si>
  <si>
    <t>TOTAL GENERAL SUBDIRECCIÓN GENERAL DE DESCENTRALIZACIÓN Y DESARROLLO TERRITORIAL - SGDDT</t>
  </si>
  <si>
    <t>Subdirección General de Inversiones, Seguimiento y Evaluación</t>
  </si>
  <si>
    <t>Fecha: corte 18 de agosto 2023</t>
  </si>
  <si>
    <t>Dependencia responsable del proyecto</t>
  </si>
  <si>
    <t>% Part</t>
  </si>
  <si>
    <t>DPIP</t>
  </si>
  <si>
    <r>
      <t xml:space="preserve"> </t>
    </r>
    <r>
      <rPr>
        <b/>
        <sz val="10"/>
        <color theme="1"/>
        <rFont val="Verdana"/>
        <family val="2"/>
      </rPr>
      <t xml:space="preserve">SGISE
</t>
    </r>
    <r>
      <rPr>
        <sz val="10"/>
        <color theme="1"/>
        <rFont val="Verdana"/>
        <family val="2"/>
      </rPr>
      <t xml:space="preserve">
Sub. Gral de Inversiones, seguimiento y evaluación </t>
    </r>
  </si>
  <si>
    <t>Eduardo Alberto Olivar Quintero</t>
  </si>
  <si>
    <r>
      <rPr>
        <b/>
        <sz val="10"/>
        <color theme="1"/>
        <rFont val="Verdana"/>
        <family val="2"/>
      </rPr>
      <t xml:space="preserve"> SGISE</t>
    </r>
    <r>
      <rPr>
        <sz val="10"/>
        <color theme="1"/>
        <rFont val="Verdana"/>
        <family val="2"/>
      </rPr>
      <t xml:space="preserve">
Sub. Gral de Inversiones, seguimiento y evaluación </t>
    </r>
  </si>
  <si>
    <t>APOYO AL DESARROLLO DE PROYECTOS A TRAVÉS DEL FONDO REGIONAL PARA LOS CONTRATOS PLAN.  NACIONAL</t>
  </si>
  <si>
    <t>Traslado a nivel de decreto del Proyecto de Pactos Territoriales  a: Fortalecimiento política publicas  $1.600.   Mejoramiento de resultados de la gestión pública $2.500</t>
  </si>
  <si>
    <t>SUBTOTAL PLANEACIÓN Y GESTIÓN TERRITORIAL INTELIGENTE (Contratos Plan)</t>
  </si>
  <si>
    <t>DIDE</t>
  </si>
  <si>
    <t>FORTALECIMIENTO DEL CICLO DE LAS POLITICAS PUBLICAS SECTORIALES E INTERSECTORIALES PARA EL DESARROLLO  NACIONAL</t>
  </si>
  <si>
    <t>DSEPP</t>
  </si>
  <si>
    <r>
      <rPr>
        <b/>
        <sz val="10"/>
        <color theme="1"/>
        <rFont val="Verdana"/>
        <family val="2"/>
      </rPr>
      <t xml:space="preserve">DSEPP
</t>
    </r>
    <r>
      <rPr>
        <sz val="10"/>
        <color theme="1"/>
        <rFont val="Verdana"/>
        <family val="2"/>
      </rPr>
      <t xml:space="preserve">
Dir. Seguimiento y Evaluación de Políticas Públicas</t>
    </r>
  </si>
  <si>
    <t>Patricia Moreno (E.)</t>
  </si>
  <si>
    <r>
      <rPr>
        <b/>
        <sz val="10"/>
        <color theme="1"/>
        <rFont val="Verdana"/>
        <family val="2"/>
      </rPr>
      <t>DSEPP</t>
    </r>
    <r>
      <rPr>
        <sz val="10"/>
        <color theme="1"/>
        <rFont val="Verdana"/>
        <family val="2"/>
      </rPr>
      <t xml:space="preserve">
Dir. Seguimiento y Evaluación de Políticas Públicas</t>
    </r>
  </si>
  <si>
    <t>FORTALECIMIENTO DE LA EFICIENCIA EN EL GASTO DE INVERSION PUBLICA TERRITORIAL Y  NACIONAL</t>
  </si>
  <si>
    <t>Carlos Alberto Castañeda Castrillón</t>
  </si>
  <si>
    <t>SUBTOTAL EFICIENCIA INSTITUCIONAL PARA EL CUMPLIMIENTO DE LOS ACUERDOS REALIZADOS CON LAS COMUNIDADES (Sistema Nacional de Evaluación)</t>
  </si>
  <si>
    <t>DGDHP</t>
  </si>
  <si>
    <r>
      <rPr>
        <b/>
        <sz val="10"/>
        <color theme="1"/>
        <rFont val="Verdana"/>
        <family val="2"/>
      </rPr>
      <t xml:space="preserve">DPII
</t>
    </r>
    <r>
      <rPr>
        <sz val="10"/>
        <color theme="1"/>
        <rFont val="Verdana"/>
        <family val="2"/>
      </rPr>
      <t xml:space="preserve">
Dir. Proyectos e Información para la Inversión</t>
    </r>
  </si>
  <si>
    <t>Martha Cecilia García Buitrago (E.)</t>
  </si>
  <si>
    <r>
      <rPr>
        <b/>
        <sz val="10"/>
        <color theme="1"/>
        <rFont val="Verdana"/>
        <family val="2"/>
      </rPr>
      <t>DPIP</t>
    </r>
    <r>
      <rPr>
        <sz val="10"/>
        <color theme="1"/>
        <rFont val="Verdana"/>
        <family val="2"/>
      </rPr>
      <t xml:space="preserve">
Dir. Programación de Inversiones Públicas</t>
    </r>
  </si>
  <si>
    <t>FORTALECIMIENTO DEL SISTEMA NACIONAL DE EVALUACIÓN DE GESTIÓN Y RESULTADOS.  NACIONAL</t>
  </si>
  <si>
    <t>OAC</t>
  </si>
  <si>
    <r>
      <rPr>
        <b/>
        <sz val="10"/>
        <color theme="1"/>
        <rFont val="Verdana"/>
        <family val="2"/>
      </rPr>
      <t>DPII</t>
    </r>
    <r>
      <rPr>
        <sz val="10"/>
        <color theme="1"/>
        <rFont val="Verdana"/>
        <family val="2"/>
      </rPr>
      <t xml:space="preserve">
Dir. Proyectos e Información para la Inversión</t>
    </r>
  </si>
  <si>
    <t>APROVECHAMIENTO DE LA INFORMACIÓN DEL SEGUIMIENTO Y LA EVALUACIÓN DE POLÍTICAS PÚBLICAS PARA LA TOMA DE DECISIONES BASADAS EN EVIDENCIA, A NIVEL NACIONAL</t>
  </si>
  <si>
    <t>SGISE</t>
  </si>
  <si>
    <t>DG-DPIP</t>
  </si>
  <si>
    <t>APOYO PRESUPUESTAL A ENTIDADES PERTENECIENTES AL PRESUPUESTO GENERAL DE LA NACION EN LA IMPLEMENTACION DE PROYECTOS DE INVERSION A NIVEL  NACIONAL-[DISTRIBUCION PREVIO CONCEPTO DNP]</t>
  </si>
  <si>
    <t>SUBTOTAL ADMINISTRACIÓN EFICIENTE DE LOS RECURSOS PÚBLICOS (Gestión de la Inversión Pública)</t>
  </si>
  <si>
    <t>OAP
Oficina Asesora de Plenación</t>
  </si>
  <si>
    <r>
      <rPr>
        <b/>
        <sz val="10"/>
        <color theme="1"/>
        <rFont val="Verdana"/>
        <family val="2"/>
      </rPr>
      <t xml:space="preserve">DG - DPIP
</t>
    </r>
    <r>
      <rPr>
        <sz val="10"/>
        <color theme="1"/>
        <rFont val="Verdana"/>
        <family val="2"/>
      </rPr>
      <t xml:space="preserve">
 Dir. General Dir. Programación de Inversiones Públicas
</t>
    </r>
  </si>
  <si>
    <r>
      <rPr>
        <b/>
        <sz val="10"/>
        <color theme="1"/>
        <rFont val="Verdana"/>
        <family val="2"/>
      </rPr>
      <t>OAP</t>
    </r>
    <r>
      <rPr>
        <sz val="10"/>
        <color theme="1"/>
        <rFont val="Verdana"/>
        <family val="2"/>
      </rPr>
      <t xml:space="preserve">
Oficina Asesora de Planeación</t>
    </r>
  </si>
  <si>
    <t xml:space="preserve">José Alejandro Herrera
</t>
  </si>
  <si>
    <t>SUBTOTAL  ENTIDADES PÚBLICAS TERRITORIALES Y NACIONALES FORTALECIDAS</t>
  </si>
  <si>
    <t>TOTAL GENERAL SUBDIRECCIÓN GENERAL DE INVERSIONES, SEGUIMIENTO Y EVALUACIÓN</t>
  </si>
  <si>
    <t>Subdirección General de Prospectiva y Desarrollo Nacional - SGPDN</t>
  </si>
  <si>
    <r>
      <rPr>
        <b/>
        <sz val="14"/>
        <color theme="1"/>
        <rFont val="Verdana"/>
        <family val="2"/>
      </rPr>
      <t xml:space="preserve">DDS
</t>
    </r>
    <r>
      <rPr>
        <sz val="14"/>
        <color theme="1"/>
        <rFont val="Verdana"/>
        <family val="2"/>
      </rPr>
      <t xml:space="preserve">
Dir. Desarrollo Social</t>
    </r>
  </si>
  <si>
    <t xml:space="preserve">Horacio 
Coral Díaz
</t>
  </si>
  <si>
    <r>
      <rPr>
        <b/>
        <sz val="14"/>
        <color theme="1"/>
        <rFont val="Verdana"/>
        <family val="2"/>
      </rPr>
      <t>DDS</t>
    </r>
    <r>
      <rPr>
        <sz val="14"/>
        <color theme="1"/>
        <rFont val="Verdana"/>
        <family val="2"/>
      </rPr>
      <t xml:space="preserve">
Dir. Desarrollo Social</t>
    </r>
  </si>
  <si>
    <t xml:space="preserve"> DDU</t>
  </si>
  <si>
    <t>SUBTOTAL  EFICIENCIA INSTITUCIONAL PARA EL CUMPLIMIENTO DE LOS ACUERDOS REALIZADOS CON LAS COMUNIDADES (focalización de gasto social)</t>
  </si>
  <si>
    <t xml:space="preserve"> DGDHP</t>
  </si>
  <si>
    <r>
      <rPr>
        <b/>
        <sz val="14"/>
        <color theme="1"/>
        <rFont val="Verdana"/>
        <family val="2"/>
      </rPr>
      <t xml:space="preserve">DIES
</t>
    </r>
    <r>
      <rPr>
        <sz val="14"/>
        <color theme="1"/>
        <rFont val="Verdana"/>
        <family val="2"/>
      </rPr>
      <t xml:space="preserve">
Dir. Infraestructura y Energía Sostenible</t>
    </r>
  </si>
  <si>
    <t>Jhoan Nicolas Rincón Munar</t>
  </si>
  <si>
    <r>
      <rPr>
        <b/>
        <sz val="14"/>
        <color theme="1"/>
        <rFont val="Verdana"/>
        <family val="2"/>
      </rPr>
      <t>DIES</t>
    </r>
    <r>
      <rPr>
        <sz val="14"/>
        <color theme="1"/>
        <rFont val="Verdana"/>
        <family val="2"/>
      </rPr>
      <t xml:space="preserve">
Dir. Infraestructura y Energía Sostenible</t>
    </r>
  </si>
  <si>
    <t>INCORPORACIÓN DE EVIDENCIA, BUENAS PRÁCTICAS E INNOVACIÓN PUBLICA EN LA ADMINISTRACION PUBLICA A NIVEL NACIONAL</t>
  </si>
  <si>
    <r>
      <rPr>
        <b/>
        <sz val="14"/>
        <color theme="1"/>
        <rFont val="Verdana"/>
        <family val="2"/>
      </rPr>
      <t>SCT</t>
    </r>
    <r>
      <rPr>
        <sz val="14"/>
        <color theme="1"/>
        <rFont val="Verdana"/>
        <family val="2"/>
      </rPr>
      <t xml:space="preserve">
Sub. Contratación</t>
    </r>
  </si>
  <si>
    <r>
      <rPr>
        <b/>
        <sz val="14"/>
        <color theme="1"/>
        <rFont val="Verdana"/>
        <family val="2"/>
      </rPr>
      <t>SF</t>
    </r>
    <r>
      <rPr>
        <sz val="14"/>
        <color theme="1"/>
        <rFont val="Verdana"/>
        <family val="2"/>
      </rPr>
      <t xml:space="preserve">
Sub. Financiera</t>
    </r>
  </si>
  <si>
    <t>SUBTOTAL  INFRAESTRUCTURA Y SERVICIOS LOGÍSTICOS (Acciones Logística)</t>
  </si>
  <si>
    <t>DADS</t>
  </si>
  <si>
    <r>
      <rPr>
        <b/>
        <sz val="14"/>
        <color theme="1"/>
        <rFont val="Verdana"/>
        <family val="2"/>
      </rPr>
      <t xml:space="preserve">SGPDN
</t>
    </r>
    <r>
      <rPr>
        <sz val="14"/>
        <color theme="1"/>
        <rFont val="Verdana"/>
        <family val="2"/>
      </rPr>
      <t xml:space="preserve">
Sub. Gral Prospectiva y Dllo Nacional</t>
    </r>
  </si>
  <si>
    <t xml:space="preserve"> Juan Miguel Gallego Acevedo</t>
  </si>
  <si>
    <t>DDRS</t>
  </si>
  <si>
    <t>DDS</t>
  </si>
  <si>
    <t>DISENO Y ARTICULACION DE LOS INSTRUMENTOS, ESTRATEGIAS, LINEAMIENTOS Y DEMAS REQUERIMIENTOS TECNICOS PARA EL DESARROLLO Y FOCALIZACION DE LA POLITICA PUBLICA DE PROTECCION SOCIAL NACIONAL</t>
  </si>
  <si>
    <r>
      <rPr>
        <b/>
        <sz val="14"/>
        <color theme="1"/>
        <rFont val="Verdana"/>
        <family val="2"/>
      </rPr>
      <t>SGPDN</t>
    </r>
    <r>
      <rPr>
        <sz val="14"/>
        <color theme="1"/>
        <rFont val="Verdana"/>
        <family val="2"/>
      </rPr>
      <t xml:space="preserve">
Sub. Gral Prospectiva y Dllo Nacional</t>
    </r>
  </si>
  <si>
    <t>DENDD</t>
  </si>
  <si>
    <t>SUBTOTAL INFRAESTRUCTURA Y SERVICIOS LOGÍSTICOS (Participación Privada APP)</t>
  </si>
  <si>
    <r>
      <rPr>
        <b/>
        <sz val="14"/>
        <color theme="1"/>
        <rFont val="Verdana"/>
        <family val="2"/>
      </rPr>
      <t xml:space="preserve">SGPDN
</t>
    </r>
    <r>
      <rPr>
        <sz val="14"/>
        <color theme="1"/>
        <rFont val="Verdana"/>
        <family val="2"/>
      </rPr>
      <t xml:space="preserve">
Sub. Gral Prospectiva y Dllo Nacional</t>
    </r>
  </si>
  <si>
    <t>Juan Miguel Gallego Acevedo</t>
  </si>
  <si>
    <r>
      <rPr>
        <b/>
        <sz val="14"/>
        <color theme="1"/>
        <rFont val="Verdana"/>
        <family val="2"/>
      </rPr>
      <t>DADS</t>
    </r>
    <r>
      <rPr>
        <sz val="14"/>
        <color theme="1"/>
        <rFont val="Verdana"/>
        <family val="2"/>
      </rPr>
      <t xml:space="preserve">
Dir. Ambiente y Dllo Sostenible</t>
    </r>
  </si>
  <si>
    <t>DIES</t>
  </si>
  <si>
    <t>FORTALECIMIENTO DE POLITICAS Y ACCIONES DE LOGISTICA  NACIONAL</t>
  </si>
  <si>
    <r>
      <rPr>
        <b/>
        <sz val="14"/>
        <color theme="1"/>
        <rFont val="Verdana"/>
        <family val="2"/>
      </rPr>
      <t>DDRS</t>
    </r>
    <r>
      <rPr>
        <sz val="14"/>
        <color theme="1"/>
        <rFont val="Verdana"/>
        <family val="2"/>
      </rPr>
      <t xml:space="preserve">
Dir. Dllo Rural Sostenible</t>
    </r>
  </si>
  <si>
    <r>
      <rPr>
        <b/>
        <sz val="14"/>
        <color theme="1"/>
        <rFont val="Verdana"/>
        <family val="2"/>
      </rPr>
      <t xml:space="preserve"> DDU</t>
    </r>
    <r>
      <rPr>
        <sz val="14"/>
        <color theme="1"/>
        <rFont val="Verdana"/>
        <family val="2"/>
      </rPr>
      <t xml:space="preserve">
Dir. Dllo Urbano</t>
    </r>
  </si>
  <si>
    <t>SCT</t>
  </si>
  <si>
    <r>
      <rPr>
        <b/>
        <sz val="14"/>
        <color theme="1"/>
        <rFont val="Verdana"/>
        <family val="2"/>
      </rPr>
      <t>DENDD</t>
    </r>
    <r>
      <rPr>
        <sz val="14"/>
        <color theme="1"/>
        <rFont val="Verdana"/>
        <family val="2"/>
      </rPr>
      <t xml:space="preserve">
Dir. Economía Naranja y Dllo Digital</t>
    </r>
  </si>
  <si>
    <t>SF</t>
  </si>
  <si>
    <r>
      <rPr>
        <b/>
        <sz val="14"/>
        <color theme="1"/>
        <rFont val="Verdana"/>
        <family val="2"/>
      </rPr>
      <t xml:space="preserve"> DGDHP</t>
    </r>
    <r>
      <rPr>
        <sz val="14"/>
        <color theme="1"/>
        <rFont val="Verdana"/>
        <family val="2"/>
      </rPr>
      <t xml:space="preserve">
Dir. Gobierno, DDHH y Paz</t>
    </r>
  </si>
  <si>
    <t>CONSOLIDACION ESQUEMAS PARA PROMOVER LA PARTICIPACION PRIVADA EN EL DESARROLLO DE INFRAESTRUCTURA PUBLICA Y PRESTACION DE SUS SERVICIOS ASOCIADOS   NACIONAL</t>
  </si>
  <si>
    <t>SGPDN</t>
  </si>
  <si>
    <r>
      <rPr>
        <b/>
        <sz val="14"/>
        <color theme="1"/>
        <rFont val="Verdana"/>
        <family val="2"/>
      </rPr>
      <t>DIDE</t>
    </r>
    <r>
      <rPr>
        <sz val="14"/>
        <color theme="1"/>
        <rFont val="Verdana"/>
        <family val="2"/>
      </rPr>
      <t xml:space="preserve">
Dir. Innovación y Dllo Empresarial </t>
    </r>
  </si>
  <si>
    <r>
      <rPr>
        <b/>
        <sz val="14"/>
        <color theme="1"/>
        <rFont val="Verdana"/>
        <family val="2"/>
      </rPr>
      <t xml:space="preserve"> DJSD</t>
    </r>
    <r>
      <rPr>
        <sz val="14"/>
        <color theme="1"/>
        <rFont val="Verdana"/>
        <family val="2"/>
      </rPr>
      <t xml:space="preserve">
Dir. Justicia, Seguridad y Defensa</t>
    </r>
  </si>
  <si>
    <t>TOTAL GENERAL  SUBDIRECCIÓN GENERAL DE PROSPECTIVA Y DESARROLLO NACIONAL - SGPDN</t>
  </si>
  <si>
    <t>SUBTOTAL  FORTALECIMIENTO POLITICAS PUBLICAS SECTORIALES E INTERSECTORIALES (Sectorial)</t>
  </si>
  <si>
    <t>TOTAL GENERAL SUBDIRECCIÓN GENERAL DE PROSPECTIVA Y DESARROLLO NACIONAL - SGPDN</t>
  </si>
  <si>
    <t>DIRECCIÓN GENERAL</t>
  </si>
  <si>
    <t>OTSI</t>
  </si>
  <si>
    <t>José Alfredo Ruíz</t>
  </si>
  <si>
    <r>
      <rPr>
        <b/>
        <sz val="10"/>
        <color theme="1"/>
        <rFont val="Verdana"/>
        <family val="2"/>
      </rPr>
      <t>OTSI</t>
    </r>
    <r>
      <rPr>
        <sz val="10"/>
        <color theme="1"/>
        <rFont val="Verdana"/>
        <family val="2"/>
      </rPr>
      <t xml:space="preserve">
Ofic. Tecnología y Sistemas de Información</t>
    </r>
  </si>
  <si>
    <t>SUBTOTAL ENTIDADES PÚBLICAS TERRITORIALES Y NACIONALES FORTALECIDAS (Fortalecimiento de las TIC)</t>
  </si>
  <si>
    <t>G. CON
Grupo Conpes</t>
  </si>
  <si>
    <t xml:space="preserve">Daniel Monsalve Ortiz </t>
  </si>
  <si>
    <r>
      <rPr>
        <b/>
        <sz val="10"/>
        <color theme="1"/>
        <rFont val="Verdana"/>
        <family val="2"/>
      </rPr>
      <t>DG</t>
    </r>
    <r>
      <rPr>
        <sz val="10"/>
        <color theme="1"/>
        <rFont val="Verdana"/>
        <family val="2"/>
      </rPr>
      <t xml:space="preserve">
Dir. General</t>
    </r>
  </si>
  <si>
    <t>OAP</t>
  </si>
  <si>
    <t>FORTALECIMIENTO DE LA PLANEACIÓN Y LA GESTIÓN INSTITUCIONAL DEL DNP A NIVEL  NACIONAL</t>
  </si>
  <si>
    <t>GCONPES</t>
  </si>
  <si>
    <r>
      <rPr>
        <b/>
        <sz val="10"/>
        <color theme="1"/>
        <rFont val="Verdana"/>
        <family val="2"/>
      </rPr>
      <t xml:space="preserve"> DDS</t>
    </r>
    <r>
      <rPr>
        <sz val="10"/>
        <color theme="1"/>
        <rFont val="Verdana"/>
        <family val="2"/>
      </rPr>
      <t xml:space="preserve">
Dir. de Dllo Social</t>
    </r>
  </si>
  <si>
    <t>FORTALECIMIENTO DE LAS TIC PARA EL CUMPLIMIENTO DE LOS OBJETIVOS DEL DNP A NIVEL NACIONAL</t>
  </si>
  <si>
    <r>
      <rPr>
        <b/>
        <sz val="10"/>
        <color theme="1"/>
        <rFont val="Verdana"/>
        <family val="2"/>
      </rPr>
      <t xml:space="preserve"> DJSD</t>
    </r>
    <r>
      <rPr>
        <sz val="10"/>
        <color theme="1"/>
        <rFont val="Verdana"/>
        <family val="2"/>
      </rPr>
      <t xml:space="preserve">
Dir. de Just, Seguridad y Defensa</t>
    </r>
  </si>
  <si>
    <t>SUBTOTAL  EFICIENCIA INSTITUCIONAL PARA EL CUMPLIMIENTO DE LOS ACUERDOS REALIZADOS CON LAS COMUNIDADES (Visión a largo plazo)</t>
  </si>
  <si>
    <t xml:space="preserve">TOTAL DIRECCIÓN GENERAL GENERAL </t>
  </si>
  <si>
    <t>Total Dirección General</t>
  </si>
  <si>
    <t>SECRETARIA GENERAL</t>
  </si>
  <si>
    <r>
      <rPr>
        <b/>
        <sz val="10"/>
        <color theme="1"/>
        <rFont val="Verdana"/>
        <family val="2"/>
      </rPr>
      <t>SARC</t>
    </r>
    <r>
      <rPr>
        <sz val="10"/>
        <color theme="1"/>
        <rFont val="Verdana"/>
        <family val="2"/>
      </rPr>
      <t xml:space="preserve">
Sub. Administrativa y Relacionamiento con la Ciudadanía</t>
    </r>
  </si>
  <si>
    <t>Catalina Peña Rincon</t>
  </si>
  <si>
    <r>
      <rPr>
        <b/>
        <sz val="10"/>
        <color theme="1"/>
        <rFont val="Verdana"/>
        <family val="2"/>
      </rPr>
      <t>SARC</t>
    </r>
    <r>
      <rPr>
        <sz val="10"/>
        <color theme="1"/>
        <rFont val="Verdana"/>
        <family val="2"/>
      </rPr>
      <t xml:space="preserve">
Sub. Administrativa y Relacionamiento con la Ciudadanía</t>
    </r>
  </si>
  <si>
    <t>SUBTOTAL ENTIDADES PÚBLICAS TERRITORIALES Y NACIONALES FORTALECIDAS (Sede Adquisición y Adecuación)</t>
  </si>
  <si>
    <t>FORTALECIMIENTO DE LA GESTIÓN Y DIRECIÓN DEL SECTOR PLANEACIÓN</t>
  </si>
  <si>
    <t>SG
Secretaría General</t>
  </si>
  <si>
    <t>Sandra Camargo Bendeck</t>
  </si>
  <si>
    <r>
      <rPr>
        <b/>
        <sz val="10"/>
        <color theme="1"/>
        <rFont val="Verdana"/>
        <family val="2"/>
      </rPr>
      <t>SG</t>
    </r>
    <r>
      <rPr>
        <sz val="10"/>
        <color theme="1"/>
        <rFont val="Verdana"/>
        <family val="2"/>
      </rPr>
      <t xml:space="preserve">
Secretaría General</t>
    </r>
  </si>
  <si>
    <r>
      <rPr>
        <b/>
        <sz val="10"/>
        <color theme="1"/>
        <rFont val="Verdana"/>
        <family val="2"/>
      </rPr>
      <t>SCT</t>
    </r>
    <r>
      <rPr>
        <sz val="10"/>
        <color theme="1"/>
        <rFont val="Verdana"/>
        <family val="2"/>
      </rPr>
      <t xml:space="preserve">
Sub. Contratación</t>
    </r>
  </si>
  <si>
    <r>
      <rPr>
        <b/>
        <sz val="10"/>
        <color theme="1"/>
        <rFont val="Verdana"/>
        <family val="2"/>
      </rPr>
      <t>SGTH</t>
    </r>
    <r>
      <rPr>
        <sz val="10"/>
        <color theme="1"/>
        <rFont val="Verdana"/>
        <family val="2"/>
      </rPr>
      <t xml:space="preserve">
Sub. Gestión Talento Humano</t>
    </r>
  </si>
  <si>
    <t>OAC 
Oficina Asesora de Comunicaciones</t>
  </si>
  <si>
    <t>OAP
Oficina Asesora de Planeación</t>
  </si>
  <si>
    <t>OAJ
Oficina Asesora Jurídica</t>
  </si>
  <si>
    <t>OCI
Oficina Control Interno</t>
  </si>
  <si>
    <t>SUBTOTAL  ENTIDADES PÚBLICAS TERRITORIALES Y NACIONALES FORTALECIDAS (Fortalecimiento de la planeación y la gestión institucional )</t>
  </si>
  <si>
    <t>TOTAL GENERAL SECRETARÍA GENERAL</t>
  </si>
  <si>
    <t>C-0301-1000-31</t>
  </si>
  <si>
    <t>C-0301-1000-20</t>
  </si>
  <si>
    <t>C-0301-1000-18</t>
  </si>
  <si>
    <t>C-0301-1000-35</t>
  </si>
  <si>
    <t>C-0399-1000-9-</t>
  </si>
  <si>
    <t>C-0399-1000-8-</t>
  </si>
  <si>
    <t>C-0301-1000-33</t>
  </si>
  <si>
    <t>C-0301-1000-39</t>
  </si>
  <si>
    <t>C-0399-1000-7-</t>
  </si>
  <si>
    <t>C-0301-1000-34</t>
  </si>
  <si>
    <t>C-0301-1000-40</t>
  </si>
  <si>
    <t>C-0301-1000-38</t>
  </si>
  <si>
    <t>C-0301-1000-22</t>
  </si>
  <si>
    <t>C-0301-1000-29</t>
  </si>
  <si>
    <t>C-0301-1000-30</t>
  </si>
  <si>
    <t>Suma de APR, VIGENTE</t>
  </si>
  <si>
    <t>Etiquetas de columna</t>
  </si>
  <si>
    <t>Etiquetas de fila</t>
  </si>
  <si>
    <t>(en blanco)</t>
  </si>
  <si>
    <t>Total general</t>
  </si>
  <si>
    <t>Suma de COMPROMISO</t>
  </si>
  <si>
    <t xml:space="preserve"> </t>
  </si>
  <si>
    <t>Suma de OBLIGACION</t>
  </si>
  <si>
    <t>Fecha: corte 13 de marzo 2024</t>
  </si>
  <si>
    <t>2024-03-13 14:34:12</t>
  </si>
  <si>
    <t>Impuestos y cuota de auditaje</t>
  </si>
  <si>
    <r>
      <rPr>
        <b/>
        <sz val="10"/>
        <rFont val="Verdana"/>
        <family val="2"/>
      </rPr>
      <t>DDFF</t>
    </r>
    <r>
      <rPr>
        <sz val="10"/>
        <rFont val="Verdana"/>
        <family val="2"/>
      </rPr>
      <t xml:space="preserve">
Dir. Descentralización y Fortalecimiento Fiscal
</t>
    </r>
  </si>
  <si>
    <r>
      <rPr>
        <b/>
        <sz val="10"/>
        <color theme="1"/>
        <rFont val="Verdana"/>
        <family val="2"/>
      </rPr>
      <t>DODT</t>
    </r>
    <r>
      <rPr>
        <sz val="10"/>
        <color theme="1"/>
        <rFont val="Verdana"/>
        <family val="2"/>
      </rPr>
      <t xml:space="preserve">
Dir. De Ordenamiento y Dllo Territorial</t>
    </r>
  </si>
  <si>
    <r>
      <rPr>
        <b/>
        <sz val="10"/>
        <color theme="1"/>
        <rFont val="Verdana"/>
        <family val="2"/>
      </rPr>
      <t xml:space="preserve">SGDDT </t>
    </r>
    <r>
      <rPr>
        <sz val="10"/>
        <color theme="1"/>
        <rFont val="Verdana"/>
        <family val="2"/>
      </rPr>
      <t xml:space="preserve">
 Sub. Gral de Descentralización y Dllo Territorial</t>
    </r>
  </si>
  <si>
    <r>
      <rPr>
        <b/>
        <sz val="10"/>
        <rFont val="Verdana"/>
        <family val="2"/>
      </rPr>
      <t xml:space="preserve">DER </t>
    </r>
    <r>
      <rPr>
        <sz val="10"/>
        <rFont val="Verdana"/>
        <family val="2"/>
      </rPr>
      <t xml:space="preserve">
Dir. Estrategia Regional</t>
    </r>
  </si>
  <si>
    <r>
      <rPr>
        <b/>
        <sz val="10"/>
        <rFont val="Verdana"/>
        <family val="2"/>
      </rPr>
      <t>DODT</t>
    </r>
    <r>
      <rPr>
        <sz val="10"/>
        <rFont val="Verdana"/>
        <family val="2"/>
      </rPr>
      <t xml:space="preserve">
Dir. Ordenamiento y Dllo Territorial</t>
    </r>
  </si>
  <si>
    <r>
      <rPr>
        <b/>
        <sz val="10"/>
        <color theme="1"/>
        <rFont val="Verdana"/>
        <family val="2"/>
      </rPr>
      <t>SF</t>
    </r>
    <r>
      <rPr>
        <sz val="10"/>
        <color theme="1"/>
        <rFont val="Verdana"/>
        <family val="2"/>
      </rPr>
      <t xml:space="preserve">
Sub. Financiera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</si>
</sst>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$&quot;\ #,##0;[Red]\-&quot;$&quot;\ #,##0"/>
    <numFmt numFmtId="7" formatCode="&quot;$&quot;\ #,##0.00;\-&quot;$&quot;\ #,##0.00"/>
    <numFmt numFmtId="8" formatCode="&quot;$&quot;\ #,##0.00;[Red]\-&quot;$&quot;\ #,##0.00"/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[$-1240A]&quot;$&quot;\ #,##0.00;\-&quot;$&quot;\ #,##0.00"/>
    <numFmt numFmtId="166" formatCode="0.0%"/>
  </numFmts>
  <fonts count="8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theme="0"/>
      <name val="Times New Roman"/>
      <family val="1"/>
    </font>
    <font>
      <b/>
      <sz val="8"/>
      <color rgb="FF000000"/>
      <name val="Times New Roman"/>
      <family val="1"/>
    </font>
    <font>
      <sz val="11"/>
      <color theme="0"/>
      <name val="Calibri"/>
      <family val="2"/>
    </font>
    <font>
      <sz val="11"/>
      <color theme="4" tint="-0.499984740745262"/>
      <name val="Calibri"/>
      <family val="2"/>
      <scheme val="minor"/>
    </font>
    <font>
      <sz val="8"/>
      <color theme="4" tint="-0.499984740745262"/>
      <name val="Century Gothic"/>
      <family val="2"/>
    </font>
    <font>
      <b/>
      <sz val="12"/>
      <color theme="4" tint="-0.499984740745262"/>
      <name val="Century Gothic"/>
      <family val="2"/>
    </font>
    <font>
      <sz val="12"/>
      <color theme="4" tint="-0.499984740745262"/>
      <name val="Century Gothic"/>
      <family val="2"/>
    </font>
    <font>
      <sz val="12"/>
      <color theme="4" tint="-0.499984740745262"/>
      <name val="Calibri"/>
      <family val="2"/>
      <scheme val="minor"/>
    </font>
    <font>
      <b/>
      <sz val="12"/>
      <color theme="0"/>
      <name val="Century Gothic"/>
      <family val="2"/>
    </font>
    <font>
      <b/>
      <sz val="12"/>
      <color theme="4" tint="-0.499984740745262"/>
      <name val="Calibri"/>
      <family val="2"/>
      <scheme val="minor"/>
    </font>
    <font>
      <b/>
      <sz val="12"/>
      <color theme="0"/>
      <name val="Work Sans"/>
      <family val="3"/>
    </font>
    <font>
      <sz val="10"/>
      <name val="Arial"/>
      <family val="2"/>
    </font>
    <font>
      <sz val="8"/>
      <color theme="0"/>
      <name val="Century Gothic"/>
      <family val="2"/>
    </font>
    <font>
      <sz val="10"/>
      <name val="Verdana"/>
      <family val="2"/>
    </font>
    <font>
      <sz val="10"/>
      <color theme="9" tint="-0.249977111117893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sz val="18"/>
      <name val="Arial"/>
      <family val="2"/>
    </font>
    <font>
      <b/>
      <sz val="12"/>
      <color rgb="FF4D4D4D"/>
      <name val="Verdana"/>
      <family val="2"/>
    </font>
    <font>
      <sz val="16"/>
      <color rgb="FF4D4D4D"/>
      <name val="Verdana"/>
      <family val="2"/>
    </font>
    <font>
      <sz val="18"/>
      <color rgb="FF4D4D4D"/>
      <name val="Verdana"/>
      <family val="2"/>
    </font>
    <font>
      <b/>
      <sz val="18"/>
      <color rgb="FF4D4D4D"/>
      <name val="Verdana"/>
      <family val="2"/>
    </font>
    <font>
      <sz val="9"/>
      <color rgb="FF4D4D4D"/>
      <name val="Verdana"/>
      <family val="2"/>
    </font>
    <font>
      <b/>
      <sz val="11"/>
      <color rgb="FF4D4D4D"/>
      <name val="Verdana"/>
      <family val="2"/>
    </font>
    <font>
      <sz val="12"/>
      <color rgb="FF4D4D4D"/>
      <name val="Verdana"/>
      <family val="2"/>
    </font>
    <font>
      <sz val="13"/>
      <color rgb="FF4D4D4D"/>
      <name val="Verdana"/>
      <family val="2"/>
    </font>
    <font>
      <b/>
      <sz val="13"/>
      <color rgb="FF4D4D4D"/>
      <name val="Verdana"/>
      <family val="2"/>
    </font>
    <font>
      <sz val="12"/>
      <color rgb="FFFF0000"/>
      <name val="Verdana"/>
      <family val="2"/>
    </font>
    <font>
      <sz val="12"/>
      <color rgb="FFFFC000"/>
      <name val="Verdana"/>
      <family val="2"/>
    </font>
    <font>
      <sz val="12"/>
      <color theme="9" tint="-0.249977111117893"/>
      <name val="Verdana"/>
      <family val="2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2"/>
      <color theme="0"/>
      <name val="Verdana"/>
      <family val="2"/>
    </font>
    <font>
      <b/>
      <sz val="12"/>
      <color theme="1"/>
      <name val="Verdana"/>
      <family val="2"/>
    </font>
    <font>
      <b/>
      <sz val="18"/>
      <color theme="0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8"/>
      <color theme="1"/>
      <name val="Verdana"/>
      <family val="2"/>
    </font>
    <font>
      <sz val="16"/>
      <color theme="1"/>
      <name val="Verdana"/>
      <family val="2"/>
    </font>
    <font>
      <b/>
      <sz val="18"/>
      <color theme="1"/>
      <name val="Verdana"/>
      <family val="2"/>
    </font>
    <font>
      <sz val="16"/>
      <color theme="0"/>
      <name val="Verdana"/>
      <family val="2"/>
    </font>
    <font>
      <sz val="18"/>
      <color theme="0"/>
      <name val="Verdana"/>
      <family val="2"/>
    </font>
    <font>
      <sz val="11"/>
      <color theme="9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0"/>
      <color rgb="FFFFC000"/>
      <name val="Verdana"/>
      <family val="2"/>
    </font>
    <font>
      <sz val="8"/>
      <color rgb="FF0070C0"/>
      <name val="Times New Roman"/>
      <family val="1"/>
    </font>
    <font>
      <sz val="11"/>
      <color rgb="FF0070C0"/>
      <name val="Calibri"/>
      <family val="2"/>
    </font>
    <font>
      <sz val="1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1"/>
      <name val="Verdana"/>
      <family val="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1157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 style="thick">
        <color theme="3" tint="0.39997558519241921"/>
      </bottom>
      <diagonal/>
    </border>
    <border>
      <left style="thick">
        <color theme="3" tint="0.39997558519241921"/>
      </left>
      <right/>
      <top style="thick">
        <color theme="3" tint="0.39997558519241921"/>
      </top>
      <bottom style="thick">
        <color theme="3" tint="0.39997558519241921"/>
      </bottom>
      <diagonal/>
    </border>
    <border>
      <left/>
      <right/>
      <top style="thick">
        <color theme="3" tint="0.39997558519241921"/>
      </top>
      <bottom style="thick">
        <color theme="3" tint="0.39997558519241921"/>
      </bottom>
      <diagonal/>
    </border>
    <border>
      <left/>
      <right style="thick">
        <color theme="3" tint="0.39997558519241921"/>
      </right>
      <top style="thick">
        <color theme="3" tint="0.39997558519241921"/>
      </top>
      <bottom style="thick">
        <color theme="3" tint="0.39997558519241921"/>
      </bottom>
      <diagonal/>
    </border>
    <border>
      <left style="thin">
        <color rgb="FFBFBFBF"/>
      </left>
      <right/>
      <top style="thick">
        <color theme="3" tint="0.39997558519241921"/>
      </top>
      <bottom style="thick">
        <color theme="3" tint="0.39997558519241921"/>
      </bottom>
      <diagonal/>
    </border>
    <border>
      <left/>
      <right/>
      <top style="thick">
        <color theme="3" tint="0.39997558519241921"/>
      </top>
      <bottom/>
      <diagonal/>
    </border>
    <border>
      <left/>
      <right style="thick">
        <color theme="3" tint="0.39997558519241921"/>
      </right>
      <top/>
      <bottom/>
      <diagonal/>
    </border>
    <border>
      <left style="thick">
        <color theme="3" tint="0.39997558519241921"/>
      </left>
      <right/>
      <top/>
      <bottom style="thick">
        <color theme="3" tint="0.39997558519241921"/>
      </bottom>
      <diagonal/>
    </border>
    <border>
      <left/>
      <right/>
      <top/>
      <bottom style="thick">
        <color theme="3" tint="0.39997558519241921"/>
      </bottom>
      <diagonal/>
    </border>
    <border>
      <left/>
      <right style="thick">
        <color theme="3" tint="0.39997558519241921"/>
      </right>
      <top/>
      <bottom style="thick">
        <color theme="3" tint="0.39997558519241921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/>
      <diagonal/>
    </border>
    <border>
      <left style="thick">
        <color theme="3" tint="0.39997558519241921"/>
      </left>
      <right style="thick">
        <color theme="3" tint="0.39997558519241921"/>
      </right>
      <top/>
      <bottom/>
      <diagonal/>
    </border>
    <border>
      <left style="thick">
        <color theme="3" tint="0.39997558519241921"/>
      </left>
      <right style="thick">
        <color theme="3" tint="0.39997558519241921"/>
      </right>
      <top/>
      <bottom style="thick">
        <color theme="3" tint="0.39997558519241921"/>
      </bottom>
      <diagonal/>
    </border>
    <border>
      <left style="hair">
        <color theme="3" tint="-0.249977111117893"/>
      </left>
      <right style="hair">
        <color theme="3" tint="-0.249977111117893"/>
      </right>
      <top/>
      <bottom/>
      <diagonal/>
    </border>
    <border>
      <left style="hair">
        <color theme="3" tint="-0.249977111117893"/>
      </left>
      <right style="hair">
        <color theme="3" tint="-0.249977111117893"/>
      </right>
      <top style="thick">
        <color theme="3" tint="0.39997558519241921"/>
      </top>
      <bottom style="thick">
        <color theme="3" tint="0.39997558519241921"/>
      </bottom>
      <diagonal/>
    </border>
    <border>
      <left style="hair">
        <color theme="3" tint="-0.249977111117893"/>
      </left>
      <right style="hair">
        <color theme="3" tint="-0.249977111117893"/>
      </right>
      <top style="thick">
        <color theme="3" tint="0.39997558519241921"/>
      </top>
      <bottom/>
      <diagonal/>
    </border>
    <border>
      <left style="hair">
        <color theme="3" tint="-0.249977111117893"/>
      </left>
      <right style="hair">
        <color theme="3" tint="-0.249977111117893"/>
      </right>
      <top/>
      <bottom style="thick">
        <color theme="3" tint="0.39997558519241921"/>
      </bottom>
      <diagonal/>
    </border>
    <border>
      <left style="hair">
        <color theme="3" tint="-0.249977111117893"/>
      </left>
      <right style="hair">
        <color theme="3" tint="-0.249977111117893"/>
      </right>
      <top style="thick">
        <color theme="3" tint="0.39997558519241921"/>
      </top>
      <bottom style="hair">
        <color theme="3" tint="-0.249977111117893"/>
      </bottom>
      <diagonal/>
    </border>
    <border>
      <left style="thin">
        <color rgb="FFBFBFBF"/>
      </left>
      <right/>
      <top/>
      <bottom style="thick">
        <color theme="3" tint="0.39997558519241921"/>
      </bottom>
      <diagonal/>
    </border>
    <border>
      <left/>
      <right style="hair">
        <color theme="3" tint="-0.249977111117893"/>
      </right>
      <top style="thick">
        <color theme="3" tint="0.39997558519241921"/>
      </top>
      <bottom style="thick">
        <color theme="3" tint="0.3999755851924192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/>
      <bottom/>
      <diagonal/>
    </border>
    <border>
      <left style="thin">
        <color theme="3" tint="0.59999389629810485"/>
      </left>
      <right style="thin">
        <color theme="3" tint="0.59999389629810485"/>
      </right>
      <top/>
      <bottom style="thin">
        <color theme="3" tint="0.59999389629810485"/>
      </bottom>
      <diagonal/>
    </border>
    <border>
      <left style="thin">
        <color theme="3" tint="0.59999389629810485"/>
      </left>
      <right/>
      <top/>
      <bottom style="thin">
        <color theme="3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thick">
        <color rgb="FFFFCC02"/>
      </bottom>
      <diagonal/>
    </border>
    <border>
      <left style="medium">
        <color rgb="FFFFFFFF"/>
      </left>
      <right style="medium">
        <color rgb="FFFFFFFF"/>
      </right>
      <top style="thick">
        <color rgb="FFFFCC02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0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3" tint="0.59999389629810485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  <border>
      <left/>
      <right style="thin">
        <color theme="0"/>
      </right>
      <top/>
      <bottom style="thin">
        <color theme="3" tint="0.59999389629810485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CC02"/>
      </top>
      <bottom/>
      <diagonal/>
    </border>
    <border>
      <left/>
      <right/>
      <top/>
      <bottom style="medium">
        <color rgb="FFFFC000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C000"/>
      </bottom>
      <diagonal/>
    </border>
    <border>
      <left style="medium">
        <color rgb="FFFFFFFF"/>
      </left>
      <right style="medium">
        <color rgb="FFFFFFFF"/>
      </right>
      <top style="medium">
        <color rgb="FFFFC000"/>
      </top>
      <bottom style="medium">
        <color rgb="FFFFC000"/>
      </bottom>
      <diagonal/>
    </border>
    <border>
      <left style="medium">
        <color rgb="FFFFFFFF"/>
      </left>
      <right style="medium">
        <color rgb="FFFFFFFF"/>
      </right>
      <top style="dotted">
        <color rgb="FFFFC000"/>
      </top>
      <bottom style="dotted">
        <color rgb="FFFFC000"/>
      </bottom>
      <diagonal/>
    </border>
    <border>
      <left style="medium">
        <color rgb="FFFFFFFF"/>
      </left>
      <right style="medium">
        <color rgb="FFFFFFFF"/>
      </right>
      <top style="medium">
        <color rgb="FFFFC000"/>
      </top>
      <bottom style="dotted">
        <color rgb="FFFFC000"/>
      </bottom>
      <diagonal/>
    </border>
    <border>
      <left style="medium">
        <color rgb="FFFFFFFF"/>
      </left>
      <right style="medium">
        <color rgb="FFFFFFFF"/>
      </right>
      <top/>
      <bottom style="dotted">
        <color rgb="FFFFC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0"/>
      </right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3" tint="0.59999389629810485"/>
      </bottom>
      <diagonal/>
    </border>
    <border>
      <left/>
      <right style="thin">
        <color theme="0"/>
      </right>
      <top style="thin">
        <color theme="0"/>
      </top>
      <bottom style="thin">
        <color theme="3" tint="0.59999389629810485"/>
      </bottom>
      <diagonal/>
    </border>
    <border>
      <left style="thin">
        <color theme="3" tint="0.59999389629810485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59999389629810485"/>
      </right>
      <top/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5" fillId="0" borderId="0"/>
    <xf numFmtId="43" fontId="1" fillId="0" borderId="0" applyFont="0" applyFill="0" applyBorder="0" applyAlignment="0" applyProtection="0"/>
  </cellStyleXfs>
  <cellXfs count="596">
    <xf numFmtId="0" fontId="0" fillId="0" borderId="0" xfId="0"/>
    <xf numFmtId="41" fontId="0" fillId="0" borderId="0" xfId="42" applyFont="1"/>
    <xf numFmtId="164" fontId="18" fillId="0" borderId="10" xfId="42" applyNumberFormat="1" applyFont="1" applyBorder="1" applyAlignment="1">
      <alignment horizontal="left" wrapText="1"/>
    </xf>
    <xf numFmtId="164" fontId="0" fillId="0" borderId="0" xfId="42" applyNumberFormat="1" applyFont="1"/>
    <xf numFmtId="0" fontId="19" fillId="34" borderId="10" xfId="0" applyFont="1" applyFill="1" applyBorder="1" applyAlignment="1">
      <alignment horizontal="center" wrapText="1"/>
    </xf>
    <xf numFmtId="164" fontId="19" fillId="34" borderId="10" xfId="42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22" fillId="0" borderId="11" xfId="44" applyFont="1" applyBorder="1" applyAlignment="1">
      <alignment horizontal="center" vertical="center" wrapText="1" readingOrder="1"/>
    </xf>
    <xf numFmtId="0" fontId="22" fillId="0" borderId="0" xfId="44" applyFont="1" applyAlignment="1">
      <alignment horizontal="center" vertical="center" wrapText="1" readingOrder="1"/>
    </xf>
    <xf numFmtId="0" fontId="23" fillId="0" borderId="0" xfId="44" applyFont="1"/>
    <xf numFmtId="0" fontId="20" fillId="37" borderId="11" xfId="44" applyFont="1" applyFill="1" applyBorder="1" applyAlignment="1">
      <alignment horizontal="center" vertical="center" wrapText="1" readingOrder="1"/>
    </xf>
    <xf numFmtId="0" fontId="20" fillId="37" borderId="11" xfId="44" applyFont="1" applyFill="1" applyBorder="1" applyAlignment="1">
      <alignment horizontal="left" vertical="center" wrapText="1" readingOrder="1"/>
    </xf>
    <xf numFmtId="0" fontId="20" fillId="37" borderId="11" xfId="44" applyFont="1" applyFill="1" applyBorder="1" applyAlignment="1">
      <alignment vertical="center" wrapText="1" readingOrder="1"/>
    </xf>
    <xf numFmtId="0" fontId="20" fillId="0" borderId="11" xfId="44" applyFont="1" applyBorder="1" applyAlignment="1">
      <alignment horizontal="center" vertical="center" wrapText="1" readingOrder="1"/>
    </xf>
    <xf numFmtId="0" fontId="20" fillId="0" borderId="11" xfId="44" applyFont="1" applyBorder="1" applyAlignment="1">
      <alignment horizontal="left" vertical="center" wrapText="1" readingOrder="1"/>
    </xf>
    <xf numFmtId="0" fontId="20" fillId="0" borderId="11" xfId="44" applyFont="1" applyBorder="1" applyAlignment="1">
      <alignment vertical="center" wrapText="1" readingOrder="1"/>
    </xf>
    <xf numFmtId="165" fontId="24" fillId="38" borderId="11" xfId="44" applyNumberFormat="1" applyFont="1" applyFill="1" applyBorder="1" applyAlignment="1">
      <alignment horizontal="right" vertical="center" wrapText="1" readingOrder="1"/>
    </xf>
    <xf numFmtId="0" fontId="22" fillId="0" borderId="11" xfId="44" applyFont="1" applyBorder="1" applyAlignment="1">
      <alignment horizontal="left" vertical="center" wrapText="1" readingOrder="1"/>
    </xf>
    <xf numFmtId="0" fontId="25" fillId="0" borderId="11" xfId="44" applyFont="1" applyBorder="1" applyAlignment="1">
      <alignment horizontal="right" vertical="center" wrapText="1" readingOrder="1"/>
    </xf>
    <xf numFmtId="165" fontId="23" fillId="0" borderId="0" xfId="44" applyNumberFormat="1" applyFont="1"/>
    <xf numFmtId="7" fontId="26" fillId="38" borderId="0" xfId="44" applyNumberFormat="1" applyFont="1" applyFill="1"/>
    <xf numFmtId="7" fontId="23" fillId="0" borderId="0" xfId="44" applyNumberFormat="1" applyFont="1"/>
    <xf numFmtId="0" fontId="23" fillId="0" borderId="0" xfId="44" applyFont="1" applyAlignment="1">
      <alignment horizontal="center"/>
    </xf>
    <xf numFmtId="41" fontId="23" fillId="0" borderId="0" xfId="44" applyNumberFormat="1" applyFont="1"/>
    <xf numFmtId="0" fontId="27" fillId="0" borderId="0" xfId="0" applyFont="1"/>
    <xf numFmtId="0" fontId="28" fillId="0" borderId="17" xfId="0" applyFont="1" applyBorder="1" applyAlignment="1">
      <alignment horizontal="center" vertical="center" wrapText="1" readingOrder="1"/>
    </xf>
    <xf numFmtId="0" fontId="28" fillId="0" borderId="17" xfId="0" applyFont="1" applyBorder="1" applyAlignment="1">
      <alignment horizontal="left" vertical="center" wrapText="1" readingOrder="1"/>
    </xf>
    <xf numFmtId="0" fontId="28" fillId="0" borderId="0" xfId="0" applyFont="1" applyAlignment="1">
      <alignment horizontal="center" vertical="center" wrapText="1" readingOrder="1"/>
    </xf>
    <xf numFmtId="0" fontId="28" fillId="36" borderId="0" xfId="0" applyFont="1" applyFill="1" applyAlignment="1">
      <alignment horizontal="left" vertical="center" wrapText="1" readingOrder="1"/>
    </xf>
    <xf numFmtId="0" fontId="28" fillId="36" borderId="0" xfId="0" applyFont="1" applyFill="1" applyAlignment="1">
      <alignment horizontal="center" vertical="center" wrapText="1" readingOrder="1"/>
    </xf>
    <xf numFmtId="0" fontId="28" fillId="0" borderId="0" xfId="0" applyFont="1" applyAlignment="1">
      <alignment horizontal="left" vertical="center" wrapText="1" readingOrder="1"/>
    </xf>
    <xf numFmtId="0" fontId="28" fillId="0" borderId="20" xfId="0" applyFont="1" applyBorder="1" applyAlignment="1">
      <alignment horizontal="center" vertical="center" wrapText="1" readingOrder="1"/>
    </xf>
    <xf numFmtId="0" fontId="28" fillId="0" borderId="20" xfId="0" applyFont="1" applyBorder="1" applyAlignment="1">
      <alignment horizontal="left" vertical="center" wrapText="1" readingOrder="1"/>
    </xf>
    <xf numFmtId="0" fontId="31" fillId="0" borderId="0" xfId="0" applyFont="1"/>
    <xf numFmtId="0" fontId="33" fillId="0" borderId="0" xfId="0" applyFont="1"/>
    <xf numFmtId="0" fontId="29" fillId="0" borderId="24" xfId="0" applyFont="1" applyBorder="1" applyAlignment="1">
      <alignment horizontal="center" vertical="center" wrapText="1" readingOrder="1"/>
    </xf>
    <xf numFmtId="9" fontId="32" fillId="33" borderId="12" xfId="43" applyFont="1" applyFill="1" applyBorder="1" applyAlignment="1">
      <alignment horizontal="center" wrapText="1" readingOrder="1"/>
    </xf>
    <xf numFmtId="3" fontId="29" fillId="40" borderId="12" xfId="0" applyNumberFormat="1" applyFont="1" applyFill="1" applyBorder="1" applyAlignment="1">
      <alignment horizontal="center" vertical="center" wrapText="1" readingOrder="1"/>
    </xf>
    <xf numFmtId="3" fontId="32" fillId="33" borderId="12" xfId="0" applyNumberFormat="1" applyFont="1" applyFill="1" applyBorder="1" applyAlignment="1">
      <alignment horizontal="center" wrapText="1" readingOrder="1"/>
    </xf>
    <xf numFmtId="3" fontId="30" fillId="0" borderId="17" xfId="0" applyNumberFormat="1" applyFont="1" applyBorder="1" applyAlignment="1">
      <alignment horizontal="center" vertical="center" wrapText="1" readingOrder="1"/>
    </xf>
    <xf numFmtId="3" fontId="30" fillId="36" borderId="0" xfId="0" applyNumberFormat="1" applyFont="1" applyFill="1" applyAlignment="1">
      <alignment horizontal="center" vertical="center" wrapText="1" readingOrder="1"/>
    </xf>
    <xf numFmtId="0" fontId="30" fillId="36" borderId="0" xfId="0" applyFont="1" applyFill="1" applyAlignment="1">
      <alignment horizontal="center" vertical="center" wrapText="1" readingOrder="1"/>
    </xf>
    <xf numFmtId="3" fontId="30" fillId="0" borderId="0" xfId="0" applyNumberFormat="1" applyFont="1" applyAlignment="1">
      <alignment horizontal="center" vertical="center" wrapText="1" readingOrder="1"/>
    </xf>
    <xf numFmtId="3" fontId="30" fillId="36" borderId="14" xfId="0" applyNumberFormat="1" applyFont="1" applyFill="1" applyBorder="1" applyAlignment="1">
      <alignment horizontal="center" vertical="center" wrapText="1" readingOrder="1"/>
    </xf>
    <xf numFmtId="3" fontId="30" fillId="0" borderId="20" xfId="0" applyNumberFormat="1" applyFont="1" applyBorder="1" applyAlignment="1">
      <alignment horizontal="center" vertical="center" wrapText="1" readingOrder="1"/>
    </xf>
    <xf numFmtId="0" fontId="31" fillId="0" borderId="0" xfId="0" applyFont="1" applyAlignment="1">
      <alignment horizontal="center"/>
    </xf>
    <xf numFmtId="0" fontId="30" fillId="36" borderId="25" xfId="0" applyFont="1" applyFill="1" applyBorder="1" applyAlignment="1">
      <alignment horizontal="center" vertical="center" wrapText="1" readingOrder="1"/>
    </xf>
    <xf numFmtId="0" fontId="30" fillId="0" borderId="25" xfId="0" applyFont="1" applyBorder="1" applyAlignment="1">
      <alignment horizontal="center" vertical="center" wrapText="1" readingOrder="1"/>
    </xf>
    <xf numFmtId="3" fontId="29" fillId="40" borderId="24" xfId="0" applyNumberFormat="1" applyFont="1" applyFill="1" applyBorder="1" applyAlignment="1">
      <alignment horizontal="center" vertical="center" wrapText="1" readingOrder="1"/>
    </xf>
    <xf numFmtId="3" fontId="30" fillId="36" borderId="25" xfId="0" applyNumberFormat="1" applyFont="1" applyFill="1" applyBorder="1" applyAlignment="1">
      <alignment horizontal="center" vertical="center" wrapText="1" readingOrder="1"/>
    </xf>
    <xf numFmtId="3" fontId="30" fillId="0" borderId="25" xfId="0" applyNumberFormat="1" applyFont="1" applyBorder="1" applyAlignment="1">
      <alignment horizontal="center" vertical="center" wrapText="1" readingOrder="1"/>
    </xf>
    <xf numFmtId="3" fontId="30" fillId="36" borderId="26" xfId="0" applyNumberFormat="1" applyFont="1" applyFill="1" applyBorder="1" applyAlignment="1">
      <alignment horizontal="center" vertical="center" wrapText="1" readingOrder="1"/>
    </xf>
    <xf numFmtId="3" fontId="30" fillId="0" borderId="27" xfId="0" applyNumberFormat="1" applyFont="1" applyBorder="1" applyAlignment="1">
      <alignment horizontal="center" vertical="center" wrapText="1" readingOrder="1"/>
    </xf>
    <xf numFmtId="3" fontId="29" fillId="40" borderId="14" xfId="0" applyNumberFormat="1" applyFont="1" applyFill="1" applyBorder="1" applyAlignment="1">
      <alignment horizontal="center" vertical="center" wrapText="1" readingOrder="1"/>
    </xf>
    <xf numFmtId="9" fontId="29" fillId="40" borderId="24" xfId="43" applyFont="1" applyFill="1" applyBorder="1" applyAlignment="1">
      <alignment horizontal="center" vertical="center" wrapText="1" readingOrder="1"/>
    </xf>
    <xf numFmtId="9" fontId="30" fillId="36" borderId="25" xfId="43" applyFont="1" applyFill="1" applyBorder="1" applyAlignment="1">
      <alignment horizontal="center" vertical="center" wrapText="1" readingOrder="1"/>
    </xf>
    <xf numFmtId="9" fontId="30" fillId="0" borderId="25" xfId="43" applyFont="1" applyBorder="1" applyAlignment="1">
      <alignment horizontal="center" vertical="center" wrapText="1" readingOrder="1"/>
    </xf>
    <xf numFmtId="9" fontId="29" fillId="40" borderId="26" xfId="43" applyFont="1" applyFill="1" applyBorder="1" applyAlignment="1">
      <alignment horizontal="center" vertical="center" wrapText="1" readingOrder="1"/>
    </xf>
    <xf numFmtId="9" fontId="30" fillId="36" borderId="26" xfId="0" applyNumberFormat="1" applyFont="1" applyFill="1" applyBorder="1" applyAlignment="1">
      <alignment horizontal="center" vertical="center" wrapText="1" readingOrder="1"/>
    </xf>
    <xf numFmtId="9" fontId="30" fillId="0" borderId="27" xfId="0" applyNumberFormat="1" applyFont="1" applyBorder="1" applyAlignment="1">
      <alignment horizontal="center" vertical="center" wrapText="1" readingOrder="1"/>
    </xf>
    <xf numFmtId="9" fontId="30" fillId="36" borderId="25" xfId="0" applyNumberFormat="1" applyFont="1" applyFill="1" applyBorder="1" applyAlignment="1">
      <alignment horizontal="center" vertical="center" wrapText="1" readingOrder="1"/>
    </xf>
    <xf numFmtId="3" fontId="29" fillId="40" borderId="13" xfId="0" applyNumberFormat="1" applyFont="1" applyFill="1" applyBorder="1" applyAlignment="1">
      <alignment horizontal="center" vertical="center" wrapText="1" readingOrder="1"/>
    </xf>
    <xf numFmtId="9" fontId="32" fillId="33" borderId="24" xfId="43" applyFont="1" applyFill="1" applyBorder="1" applyAlignment="1">
      <alignment horizontal="center" wrapText="1" readingOrder="1"/>
    </xf>
    <xf numFmtId="9" fontId="30" fillId="0" borderId="28" xfId="0" applyNumberFormat="1" applyFont="1" applyBorder="1" applyAlignment="1">
      <alignment horizontal="center" vertical="center" wrapText="1" readingOrder="1"/>
    </xf>
    <xf numFmtId="9" fontId="29" fillId="40" borderId="29" xfId="43" applyFont="1" applyFill="1" applyBorder="1" applyAlignment="1">
      <alignment horizontal="center" vertical="center" wrapText="1" readingOrder="1"/>
    </xf>
    <xf numFmtId="6" fontId="28" fillId="0" borderId="19" xfId="0" applyNumberFormat="1" applyFont="1" applyBorder="1" applyAlignment="1">
      <alignment horizontal="center" vertical="center" wrapText="1" readingOrder="1"/>
    </xf>
    <xf numFmtId="0" fontId="30" fillId="0" borderId="28" xfId="0" applyFont="1" applyBorder="1" applyAlignment="1">
      <alignment horizontal="center" vertical="center" wrapText="1" readingOrder="1"/>
    </xf>
    <xf numFmtId="3" fontId="30" fillId="0" borderId="28" xfId="0" applyNumberFormat="1" applyFont="1" applyBorder="1" applyAlignment="1">
      <alignment horizontal="center" vertical="center" wrapText="1" readingOrder="1"/>
    </xf>
    <xf numFmtId="3" fontId="29" fillId="40" borderId="28" xfId="0" applyNumberFormat="1" applyFont="1" applyFill="1" applyBorder="1" applyAlignment="1">
      <alignment horizontal="center" vertical="center" wrapText="1" readingOrder="1"/>
    </xf>
    <xf numFmtId="0" fontId="28" fillId="36" borderId="20" xfId="0" applyFont="1" applyFill="1" applyBorder="1" applyAlignment="1">
      <alignment horizontal="left" vertical="center" wrapText="1" readingOrder="1"/>
    </xf>
    <xf numFmtId="0" fontId="30" fillId="36" borderId="28" xfId="0" applyFont="1" applyFill="1" applyBorder="1" applyAlignment="1">
      <alignment horizontal="center" vertical="center" wrapText="1" readingOrder="1"/>
    </xf>
    <xf numFmtId="0" fontId="28" fillId="36" borderId="20" xfId="0" applyFont="1" applyFill="1" applyBorder="1" applyAlignment="1">
      <alignment horizontal="center" vertical="center" wrapText="1" readingOrder="1"/>
    </xf>
    <xf numFmtId="3" fontId="29" fillId="40" borderId="31" xfId="0" applyNumberFormat="1" applyFont="1" applyFill="1" applyBorder="1" applyAlignment="1">
      <alignment horizontal="center" vertical="center" wrapText="1" readingOrder="1"/>
    </xf>
    <xf numFmtId="0" fontId="27" fillId="0" borderId="17" xfId="0" applyFont="1" applyBorder="1"/>
    <xf numFmtId="0" fontId="28" fillId="0" borderId="27" xfId="0" applyFont="1" applyBorder="1" applyAlignment="1">
      <alignment horizontal="center" vertical="center" wrapText="1" readingOrder="1"/>
    </xf>
    <xf numFmtId="0" fontId="28" fillId="36" borderId="25" xfId="0" applyFont="1" applyFill="1" applyBorder="1" applyAlignment="1">
      <alignment horizontal="center" vertical="center" wrapText="1" readingOrder="1"/>
    </xf>
    <xf numFmtId="0" fontId="28" fillId="0" borderId="25" xfId="0" applyFont="1" applyBorder="1" applyAlignment="1">
      <alignment horizontal="center" vertical="center" wrapText="1" readingOrder="1"/>
    </xf>
    <xf numFmtId="49" fontId="18" fillId="0" borderId="10" xfId="0" applyNumberFormat="1" applyFont="1" applyBorder="1"/>
    <xf numFmtId="1" fontId="18" fillId="0" borderId="10" xfId="0" applyNumberFormat="1" applyFont="1" applyBorder="1"/>
    <xf numFmtId="164" fontId="18" fillId="0" borderId="10" xfId="42" applyNumberFormat="1" applyFont="1" applyBorder="1" applyAlignment="1">
      <alignment horizontal="left"/>
    </xf>
    <xf numFmtId="164" fontId="18" fillId="0" borderId="10" xfId="42" applyNumberFormat="1" applyFont="1" applyFill="1" applyBorder="1" applyAlignment="1">
      <alignment horizontal="left"/>
    </xf>
    <xf numFmtId="0" fontId="19" fillId="34" borderId="10" xfId="0" applyFont="1" applyFill="1" applyBorder="1" applyAlignment="1">
      <alignment horizontal="center"/>
    </xf>
    <xf numFmtId="164" fontId="19" fillId="34" borderId="10" xfId="42" applyNumberFormat="1" applyFont="1" applyFill="1" applyBorder="1" applyAlignment="1">
      <alignment horizontal="center"/>
    </xf>
    <xf numFmtId="0" fontId="17" fillId="41" borderId="0" xfId="0" applyFont="1" applyFill="1"/>
    <xf numFmtId="0" fontId="28" fillId="42" borderId="0" xfId="0" applyFont="1" applyFill="1" applyAlignment="1">
      <alignment horizontal="center" vertical="center" wrapText="1" readingOrder="1"/>
    </xf>
    <xf numFmtId="0" fontId="28" fillId="43" borderId="0" xfId="0" applyFont="1" applyFill="1" applyAlignment="1">
      <alignment horizontal="center" vertical="center" wrapText="1" readingOrder="1"/>
    </xf>
    <xf numFmtId="0" fontId="28" fillId="46" borderId="0" xfId="0" applyFont="1" applyFill="1" applyAlignment="1">
      <alignment horizontal="center" vertical="center" wrapText="1" readingOrder="1"/>
    </xf>
    <xf numFmtId="0" fontId="28" fillId="46" borderId="20" xfId="0" applyFont="1" applyFill="1" applyBorder="1" applyAlignment="1">
      <alignment horizontal="center" vertical="center" wrapText="1" readingOrder="1"/>
    </xf>
    <xf numFmtId="0" fontId="36" fillId="48" borderId="0" xfId="0" applyFont="1" applyFill="1" applyAlignment="1">
      <alignment horizontal="center" vertical="center" wrapText="1" readingOrder="1"/>
    </xf>
    <xf numFmtId="0" fontId="17" fillId="48" borderId="0" xfId="0" applyFont="1" applyFill="1" applyAlignment="1">
      <alignment horizontal="center" vertical="center" wrapText="1" readingOrder="1"/>
    </xf>
    <xf numFmtId="4" fontId="37" fillId="0" borderId="0" xfId="46" applyNumberFormat="1" applyFont="1" applyAlignment="1" applyProtection="1">
      <alignment vertical="center"/>
      <protection locked="0"/>
    </xf>
    <xf numFmtId="4" fontId="38" fillId="0" borderId="0" xfId="46" applyNumberFormat="1" applyFont="1" applyAlignment="1" applyProtection="1">
      <alignment vertical="center"/>
      <protection locked="0"/>
    </xf>
    <xf numFmtId="0" fontId="39" fillId="0" borderId="0" xfId="0" applyFont="1"/>
    <xf numFmtId="9" fontId="39" fillId="0" borderId="0" xfId="43" applyFont="1"/>
    <xf numFmtId="0" fontId="40" fillId="0" borderId="0" xfId="0" applyFont="1"/>
    <xf numFmtId="0" fontId="39" fillId="0" borderId="44" xfId="0" applyFont="1" applyBorder="1"/>
    <xf numFmtId="0" fontId="39" fillId="0" borderId="45" xfId="0" applyFont="1" applyBorder="1"/>
    <xf numFmtId="0" fontId="39" fillId="0" borderId="42" xfId="0" applyFont="1" applyBorder="1"/>
    <xf numFmtId="9" fontId="39" fillId="0" borderId="45" xfId="43" applyFont="1" applyBorder="1"/>
    <xf numFmtId="0" fontId="40" fillId="50" borderId="32" xfId="0" applyFont="1" applyFill="1" applyBorder="1" applyAlignment="1">
      <alignment horizontal="center" vertical="center" wrapText="1" readingOrder="1"/>
    </xf>
    <xf numFmtId="0" fontId="40" fillId="50" borderId="37" xfId="0" applyFont="1" applyFill="1" applyBorder="1" applyAlignment="1">
      <alignment horizontal="center" vertical="center" wrapText="1" readingOrder="1"/>
    </xf>
    <xf numFmtId="0" fontId="40" fillId="50" borderId="43" xfId="0" applyFont="1" applyFill="1" applyBorder="1" applyAlignment="1">
      <alignment horizontal="center" vertical="center" wrapText="1" readingOrder="1"/>
    </xf>
    <xf numFmtId="0" fontId="39" fillId="0" borderId="49" xfId="0" applyFont="1" applyBorder="1" applyAlignment="1">
      <alignment horizontal="center" vertical="center"/>
    </xf>
    <xf numFmtId="0" fontId="39" fillId="45" borderId="38" xfId="0" applyFont="1" applyFill="1" applyBorder="1" applyAlignment="1">
      <alignment horizontal="center" vertical="center"/>
    </xf>
    <xf numFmtId="0" fontId="39" fillId="45" borderId="36" xfId="0" applyFont="1" applyFill="1" applyBorder="1" applyAlignment="1">
      <alignment horizontal="left" vertical="center" wrapText="1"/>
    </xf>
    <xf numFmtId="41" fontId="39" fillId="45" borderId="0" xfId="42" applyFont="1" applyFill="1" applyBorder="1" applyAlignment="1">
      <alignment horizontal="center" vertical="center"/>
    </xf>
    <xf numFmtId="0" fontId="39" fillId="0" borderId="38" xfId="0" applyFont="1" applyBorder="1" applyAlignment="1">
      <alignment horizontal="center" vertical="center"/>
    </xf>
    <xf numFmtId="0" fontId="39" fillId="0" borderId="36" xfId="0" applyFont="1" applyBorder="1" applyAlignment="1">
      <alignment horizontal="left" vertical="center" wrapText="1"/>
    </xf>
    <xf numFmtId="41" fontId="39" fillId="0" borderId="0" xfId="42" applyFont="1" applyFill="1" applyBorder="1" applyAlignment="1">
      <alignment horizontal="center" vertical="center"/>
    </xf>
    <xf numFmtId="0" fontId="39" fillId="45" borderId="49" xfId="0" applyFont="1" applyFill="1" applyBorder="1" applyAlignment="1">
      <alignment horizontal="center" vertical="center"/>
    </xf>
    <xf numFmtId="41" fontId="39" fillId="45" borderId="41" xfId="42" applyFont="1" applyFill="1" applyBorder="1" applyAlignment="1">
      <alignment vertical="center"/>
    </xf>
    <xf numFmtId="0" fontId="39" fillId="0" borderId="37" xfId="0" applyFont="1" applyBorder="1"/>
    <xf numFmtId="0" fontId="39" fillId="0" borderId="33" xfId="0" applyFont="1" applyBorder="1"/>
    <xf numFmtId="0" fontId="39" fillId="0" borderId="36" xfId="0" applyFont="1" applyBorder="1"/>
    <xf numFmtId="0" fontId="39" fillId="0" borderId="34" xfId="0" applyFont="1" applyBorder="1"/>
    <xf numFmtId="0" fontId="39" fillId="0" borderId="40" xfId="0" applyFont="1" applyBorder="1"/>
    <xf numFmtId="0" fontId="39" fillId="0" borderId="35" xfId="0" applyFont="1" applyBorder="1"/>
    <xf numFmtId="0" fontId="39" fillId="0" borderId="0" xfId="0" applyFont="1" applyAlignment="1">
      <alignment horizontal="center"/>
    </xf>
    <xf numFmtId="0" fontId="40" fillId="50" borderId="49" xfId="0" applyFont="1" applyFill="1" applyBorder="1" applyAlignment="1">
      <alignment horizontal="center" vertical="center" wrapText="1" readingOrder="1"/>
    </xf>
    <xf numFmtId="0" fontId="37" fillId="0" borderId="0" xfId="0" applyFont="1" applyAlignment="1">
      <alignment horizontal="center" vertical="center"/>
    </xf>
    <xf numFmtId="0" fontId="39" fillId="45" borderId="49" xfId="0" applyFont="1" applyFill="1" applyBorder="1" applyAlignment="1">
      <alignment horizontal="left" vertical="center" wrapText="1"/>
    </xf>
    <xf numFmtId="0" fontId="39" fillId="0" borderId="49" xfId="0" applyFont="1" applyBorder="1" applyAlignment="1">
      <alignment horizontal="left" vertical="center" wrapText="1"/>
    </xf>
    <xf numFmtId="41" fontId="39" fillId="0" borderId="0" xfId="42" applyFont="1"/>
    <xf numFmtId="0" fontId="39" fillId="0" borderId="52" xfId="0" applyFont="1" applyBorder="1" applyAlignment="1">
      <alignment horizontal="center" vertical="center" wrapText="1"/>
    </xf>
    <xf numFmtId="9" fontId="39" fillId="0" borderId="52" xfId="43" applyFont="1" applyBorder="1" applyAlignment="1">
      <alignment horizontal="center" vertical="center"/>
    </xf>
    <xf numFmtId="3" fontId="39" fillId="0" borderId="52" xfId="0" applyNumberFormat="1" applyFont="1" applyBorder="1" applyAlignment="1">
      <alignment horizontal="center" vertical="center" wrapText="1"/>
    </xf>
    <xf numFmtId="0" fontId="37" fillId="0" borderId="52" xfId="0" applyFont="1" applyBorder="1" applyAlignment="1">
      <alignment horizontal="center" vertical="top" wrapText="1"/>
    </xf>
    <xf numFmtId="0" fontId="41" fillId="33" borderId="52" xfId="0" applyFont="1" applyFill="1" applyBorder="1" applyAlignment="1">
      <alignment horizontal="center" vertical="center" wrapText="1" readingOrder="1"/>
    </xf>
    <xf numFmtId="0" fontId="37" fillId="0" borderId="52" xfId="0" applyFont="1" applyBorder="1"/>
    <xf numFmtId="9" fontId="41" fillId="47" borderId="52" xfId="43" applyFont="1" applyFill="1" applyBorder="1" applyAlignment="1">
      <alignment horizontal="center" vertical="center"/>
    </xf>
    <xf numFmtId="9" fontId="39" fillId="47" borderId="52" xfId="43" applyFont="1" applyFill="1" applyBorder="1" applyAlignment="1">
      <alignment horizontal="center" vertical="center"/>
    </xf>
    <xf numFmtId="0" fontId="42" fillId="33" borderId="32" xfId="0" applyFont="1" applyFill="1" applyBorder="1" applyAlignment="1">
      <alignment horizontal="center" vertical="center" wrapText="1" readingOrder="1"/>
    </xf>
    <xf numFmtId="0" fontId="42" fillId="33" borderId="37" xfId="0" applyFont="1" applyFill="1" applyBorder="1" applyAlignment="1">
      <alignment horizontal="center" vertical="center" wrapText="1" readingOrder="1"/>
    </xf>
    <xf numFmtId="0" fontId="42" fillId="33" borderId="43" xfId="0" applyFont="1" applyFill="1" applyBorder="1" applyAlignment="1">
      <alignment horizontal="center" vertical="center" wrapText="1" readingOrder="1"/>
    </xf>
    <xf numFmtId="9" fontId="39" fillId="0" borderId="52" xfId="43" applyFont="1" applyFill="1" applyBorder="1" applyAlignment="1">
      <alignment horizontal="center" vertical="center"/>
    </xf>
    <xf numFmtId="41" fontId="39" fillId="0" borderId="0" xfId="0" applyNumberFormat="1" applyFont="1" applyAlignment="1">
      <alignment horizontal="left" vertical="center" wrapText="1"/>
    </xf>
    <xf numFmtId="41" fontId="43" fillId="33" borderId="0" xfId="0" applyNumberFormat="1" applyFont="1" applyFill="1" applyAlignment="1">
      <alignment horizontal="center" vertical="center"/>
    </xf>
    <xf numFmtId="41" fontId="37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9" fontId="37" fillId="0" borderId="0" xfId="43" applyFont="1" applyFill="1" applyAlignment="1">
      <alignment horizontal="center" vertical="center"/>
    </xf>
    <xf numFmtId="0" fontId="41" fillId="0" borderId="0" xfId="0" applyFont="1"/>
    <xf numFmtId="41" fontId="39" fillId="0" borderId="0" xfId="0" applyNumberFormat="1" applyFont="1"/>
    <xf numFmtId="0" fontId="39" fillId="0" borderId="0" xfId="0" applyFont="1" applyAlignment="1">
      <alignment wrapText="1"/>
    </xf>
    <xf numFmtId="9" fontId="39" fillId="0" borderId="0" xfId="43" applyFont="1" applyAlignment="1">
      <alignment wrapText="1"/>
    </xf>
    <xf numFmtId="166" fontId="39" fillId="47" borderId="52" xfId="43" applyNumberFormat="1" applyFont="1" applyFill="1" applyBorder="1" applyAlignment="1">
      <alignment horizontal="center" vertical="center"/>
    </xf>
    <xf numFmtId="0" fontId="41" fillId="49" borderId="52" xfId="0" applyFont="1" applyFill="1" applyBorder="1" applyAlignment="1">
      <alignment horizontal="center" vertical="center" wrapText="1" readingOrder="1"/>
    </xf>
    <xf numFmtId="41" fontId="39" fillId="45" borderId="49" xfId="42" applyFont="1" applyFill="1" applyBorder="1" applyAlignment="1">
      <alignment horizontal="center" vertical="center"/>
    </xf>
    <xf numFmtId="41" fontId="39" fillId="0" borderId="49" xfId="42" applyFont="1" applyBorder="1" applyAlignment="1">
      <alignment horizontal="center" vertical="center"/>
    </xf>
    <xf numFmtId="0" fontId="40" fillId="52" borderId="52" xfId="0" applyFont="1" applyFill="1" applyBorder="1" applyAlignment="1">
      <alignment horizontal="center" vertical="center" wrapText="1" readingOrder="1"/>
    </xf>
    <xf numFmtId="9" fontId="39" fillId="45" borderId="38" xfId="43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1" fontId="39" fillId="0" borderId="0" xfId="0" applyNumberFormat="1" applyFont="1" applyAlignment="1">
      <alignment horizontal="center" vertical="center"/>
    </xf>
    <xf numFmtId="9" fontId="39" fillId="0" borderId="0" xfId="43" applyFont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9" fontId="41" fillId="51" borderId="49" xfId="43" applyFont="1" applyFill="1" applyBorder="1" applyAlignment="1">
      <alignment horizontal="center" vertical="center"/>
    </xf>
    <xf numFmtId="9" fontId="40" fillId="51" borderId="49" xfId="43" applyFont="1" applyFill="1" applyBorder="1" applyAlignment="1">
      <alignment horizontal="center" vertical="center"/>
    </xf>
    <xf numFmtId="0" fontId="39" fillId="0" borderId="54" xfId="0" applyFont="1" applyBorder="1" applyAlignment="1">
      <alignment horizontal="center" vertical="center"/>
    </xf>
    <xf numFmtId="9" fontId="40" fillId="52" borderId="49" xfId="43" applyFont="1" applyFill="1" applyBorder="1" applyAlignment="1">
      <alignment horizontal="center" vertical="center"/>
    </xf>
    <xf numFmtId="0" fontId="39" fillId="0" borderId="55" xfId="0" applyFont="1" applyBorder="1" applyAlignment="1">
      <alignment vertical="center"/>
    </xf>
    <xf numFmtId="0" fontId="40" fillId="52" borderId="55" xfId="0" applyFont="1" applyFill="1" applyBorder="1" applyAlignment="1">
      <alignment horizontal="center" vertical="center" wrapText="1" readingOrder="1"/>
    </xf>
    <xf numFmtId="0" fontId="40" fillId="52" borderId="49" xfId="0" applyFont="1" applyFill="1" applyBorder="1" applyAlignment="1">
      <alignment horizontal="center" vertical="center" wrapText="1" readingOrder="1"/>
    </xf>
    <xf numFmtId="0" fontId="45" fillId="36" borderId="60" xfId="0" applyFont="1" applyFill="1" applyBorder="1" applyAlignment="1">
      <alignment horizontal="center" vertical="center" wrapText="1" readingOrder="1"/>
    </xf>
    <xf numFmtId="0" fontId="45" fillId="36" borderId="61" xfId="0" applyFont="1" applyFill="1" applyBorder="1" applyAlignment="1">
      <alignment horizontal="center" vertical="center" wrapText="1" readingOrder="1"/>
    </xf>
    <xf numFmtId="3" fontId="47" fillId="53" borderId="62" xfId="0" applyNumberFormat="1" applyFont="1" applyFill="1" applyBorder="1" applyAlignment="1">
      <alignment horizontal="center" vertical="center" wrapText="1" readingOrder="1"/>
    </xf>
    <xf numFmtId="0" fontId="47" fillId="36" borderId="63" xfId="0" applyFont="1" applyFill="1" applyBorder="1" applyAlignment="1">
      <alignment horizontal="center" vertical="center" wrapText="1" readingOrder="1"/>
    </xf>
    <xf numFmtId="9" fontId="47" fillId="36" borderId="63" xfId="0" applyNumberFormat="1" applyFont="1" applyFill="1" applyBorder="1" applyAlignment="1">
      <alignment horizontal="center" vertical="center" wrapText="1" readingOrder="1"/>
    </xf>
    <xf numFmtId="3" fontId="47" fillId="53" borderId="63" xfId="0" applyNumberFormat="1" applyFont="1" applyFill="1" applyBorder="1" applyAlignment="1">
      <alignment horizontal="center" vertical="center" wrapText="1" readingOrder="1"/>
    </xf>
    <xf numFmtId="3" fontId="48" fillId="36" borderId="63" xfId="0" applyNumberFormat="1" applyFont="1" applyFill="1" applyBorder="1" applyAlignment="1">
      <alignment horizontal="center" vertical="center" wrapText="1" readingOrder="1"/>
    </xf>
    <xf numFmtId="0" fontId="46" fillId="53" borderId="62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46" fillId="36" borderId="63" xfId="0" applyFont="1" applyFill="1" applyBorder="1" applyAlignment="1">
      <alignment horizontal="center" vertical="center" wrapText="1" readingOrder="1"/>
    </xf>
    <xf numFmtId="0" fontId="46" fillId="53" borderId="63" xfId="0" applyFont="1" applyFill="1" applyBorder="1" applyAlignment="1">
      <alignment horizontal="center" vertical="center" wrapText="1" readingOrder="1"/>
    </xf>
    <xf numFmtId="0" fontId="48" fillId="36" borderId="63" xfId="0" applyFont="1" applyFill="1" applyBorder="1" applyAlignment="1">
      <alignment horizontal="center" vertical="center" wrapText="1" readingOrder="1"/>
    </xf>
    <xf numFmtId="0" fontId="44" fillId="36" borderId="63" xfId="0" applyFont="1" applyFill="1" applyBorder="1" applyAlignment="1">
      <alignment horizontal="center" vertical="center" wrapText="1"/>
    </xf>
    <xf numFmtId="0" fontId="49" fillId="53" borderId="62" xfId="0" applyFont="1" applyFill="1" applyBorder="1" applyAlignment="1">
      <alignment horizontal="center" vertical="center" wrapText="1" readingOrder="1"/>
    </xf>
    <xf numFmtId="3" fontId="47" fillId="36" borderId="63" xfId="0" applyNumberFormat="1" applyFont="1" applyFill="1" applyBorder="1" applyAlignment="1">
      <alignment horizontal="center" vertical="center" wrapText="1" readingOrder="1"/>
    </xf>
    <xf numFmtId="0" fontId="49" fillId="36" borderId="63" xfId="0" applyFont="1" applyFill="1" applyBorder="1" applyAlignment="1">
      <alignment horizontal="center" vertical="center" wrapText="1" readingOrder="1"/>
    </xf>
    <xf numFmtId="0" fontId="41" fillId="50" borderId="52" xfId="0" applyFont="1" applyFill="1" applyBorder="1" applyAlignment="1">
      <alignment vertical="center" wrapText="1"/>
    </xf>
    <xf numFmtId="4" fontId="54" fillId="0" borderId="0" xfId="46" applyNumberFormat="1" applyFont="1" applyAlignment="1" applyProtection="1">
      <alignment vertical="center"/>
      <protection locked="0"/>
    </xf>
    <xf numFmtId="4" fontId="55" fillId="0" borderId="0" xfId="46" applyNumberFormat="1" applyFont="1" applyAlignment="1" applyProtection="1">
      <alignment vertical="center"/>
      <protection locked="0"/>
    </xf>
    <xf numFmtId="4" fontId="56" fillId="0" borderId="0" xfId="46" applyNumberFormat="1" applyFont="1" applyAlignment="1" applyProtection="1">
      <alignment vertical="center"/>
      <protection locked="0"/>
    </xf>
    <xf numFmtId="0" fontId="57" fillId="0" borderId="0" xfId="0" applyFont="1"/>
    <xf numFmtId="9" fontId="57" fillId="0" borderId="0" xfId="43" applyFont="1"/>
    <xf numFmtId="0" fontId="58" fillId="0" borderId="0" xfId="0" applyFont="1"/>
    <xf numFmtId="0" fontId="59" fillId="33" borderId="49" xfId="0" applyFont="1" applyFill="1" applyBorder="1" applyAlignment="1">
      <alignment horizontal="center" vertical="center" wrapText="1" readingOrder="1"/>
    </xf>
    <xf numFmtId="0" fontId="60" fillId="52" borderId="46" xfId="0" applyFont="1" applyFill="1" applyBorder="1" applyAlignment="1">
      <alignment horizontal="center" vertical="center" wrapText="1" readingOrder="1"/>
    </xf>
    <xf numFmtId="0" fontId="61" fillId="33" borderId="32" xfId="0" applyFont="1" applyFill="1" applyBorder="1" applyAlignment="1">
      <alignment horizontal="center" vertical="center" wrapText="1" readingOrder="1"/>
    </xf>
    <xf numFmtId="0" fontId="61" fillId="33" borderId="37" xfId="0" applyFont="1" applyFill="1" applyBorder="1" applyAlignment="1">
      <alignment horizontal="center" vertical="center" wrapText="1" readingOrder="1"/>
    </xf>
    <xf numFmtId="0" fontId="61" fillId="33" borderId="43" xfId="0" applyFont="1" applyFill="1" applyBorder="1" applyAlignment="1">
      <alignment horizontal="center" vertical="center" wrapText="1" readingOrder="1"/>
    </xf>
    <xf numFmtId="0" fontId="63" fillId="0" borderId="52" xfId="0" applyFont="1" applyBorder="1" applyAlignment="1">
      <alignment horizontal="center" vertical="center" wrapText="1"/>
    </xf>
    <xf numFmtId="3" fontId="63" fillId="0" borderId="52" xfId="0" applyNumberFormat="1" applyFont="1" applyBorder="1" applyAlignment="1">
      <alignment horizontal="center" vertical="center" wrapText="1"/>
    </xf>
    <xf numFmtId="0" fontId="63" fillId="0" borderId="52" xfId="0" applyFont="1" applyBorder="1" applyAlignment="1">
      <alignment horizontal="center" vertical="center"/>
    </xf>
    <xf numFmtId="9" fontId="64" fillId="0" borderId="52" xfId="43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41" fontId="57" fillId="0" borderId="0" xfId="0" applyNumberFormat="1" applyFont="1" applyAlignment="1">
      <alignment horizontal="center" vertical="center"/>
    </xf>
    <xf numFmtId="41" fontId="64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left" vertical="center" wrapText="1"/>
    </xf>
    <xf numFmtId="41" fontId="65" fillId="0" borderId="0" xfId="0" applyNumberFormat="1" applyFont="1" applyAlignment="1">
      <alignment horizontal="center" vertical="center"/>
    </xf>
    <xf numFmtId="9" fontId="64" fillId="0" borderId="0" xfId="43" applyFont="1" applyAlignment="1">
      <alignment horizontal="center" vertical="center"/>
    </xf>
    <xf numFmtId="0" fontId="63" fillId="0" borderId="49" xfId="0" applyFont="1" applyBorder="1" applyAlignment="1">
      <alignment horizontal="center" vertical="center"/>
    </xf>
    <xf numFmtId="9" fontId="66" fillId="52" borderId="47" xfId="43" applyFont="1" applyFill="1" applyBorder="1" applyAlignment="1">
      <alignment horizontal="center" vertical="center"/>
    </xf>
    <xf numFmtId="9" fontId="64" fillId="0" borderId="52" xfId="43" applyFont="1" applyFill="1" applyBorder="1" applyAlignment="1">
      <alignment horizontal="center" vertical="center"/>
    </xf>
    <xf numFmtId="166" fontId="64" fillId="0" borderId="0" xfId="43" applyNumberFormat="1" applyFont="1" applyAlignment="1">
      <alignment horizontal="center" vertical="center"/>
    </xf>
    <xf numFmtId="41" fontId="67" fillId="33" borderId="0" xfId="0" applyNumberFormat="1" applyFont="1" applyFill="1" applyAlignment="1">
      <alignment horizontal="center" vertical="center"/>
    </xf>
    <xf numFmtId="41" fontId="68" fillId="33" borderId="0" xfId="0" applyNumberFormat="1" applyFont="1" applyFill="1" applyAlignment="1">
      <alignment horizontal="center" vertical="center"/>
    </xf>
    <xf numFmtId="9" fontId="66" fillId="52" borderId="48" xfId="43" applyFont="1" applyFill="1" applyBorder="1" applyAlignment="1">
      <alignment horizontal="center" vertical="center"/>
    </xf>
    <xf numFmtId="9" fontId="66" fillId="51" borderId="49" xfId="43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57" fillId="0" borderId="38" xfId="0" applyFont="1" applyBorder="1"/>
    <xf numFmtId="0" fontId="57" fillId="0" borderId="39" xfId="0" applyFont="1" applyBorder="1"/>
    <xf numFmtId="0" fontId="40" fillId="52" borderId="52" xfId="0" applyFont="1" applyFill="1" applyBorder="1" applyAlignment="1">
      <alignment vertical="center"/>
    </xf>
    <xf numFmtId="9" fontId="41" fillId="47" borderId="51" xfId="43" applyFont="1" applyFill="1" applyBorder="1" applyAlignment="1">
      <alignment horizontal="center" vertical="center"/>
    </xf>
    <xf numFmtId="9" fontId="41" fillId="52" borderId="48" xfId="43" applyFont="1" applyFill="1" applyBorder="1" applyAlignment="1">
      <alignment horizontal="center" vertical="center"/>
    </xf>
    <xf numFmtId="9" fontId="41" fillId="52" borderId="47" xfId="43" applyFont="1" applyFill="1" applyBorder="1" applyAlignment="1">
      <alignment horizontal="center" vertical="center"/>
    </xf>
    <xf numFmtId="0" fontId="41" fillId="52" borderId="46" xfId="0" applyFont="1" applyFill="1" applyBorder="1" applyAlignment="1">
      <alignment horizontal="center" vertical="center" wrapText="1" readingOrder="1"/>
    </xf>
    <xf numFmtId="0" fontId="40" fillId="52" borderId="46" xfId="0" applyFont="1" applyFill="1" applyBorder="1" applyAlignment="1">
      <alignment horizontal="center" vertical="center" wrapText="1" readingOrder="1"/>
    </xf>
    <xf numFmtId="43" fontId="0" fillId="0" borderId="0" xfId="47" applyFont="1"/>
    <xf numFmtId="0" fontId="60" fillId="0" borderId="52" xfId="0" applyFont="1" applyBorder="1" applyAlignment="1">
      <alignment horizontal="center" vertical="center" wrapText="1"/>
    </xf>
    <xf numFmtId="9" fontId="47" fillId="53" borderId="62" xfId="43" applyFont="1" applyFill="1" applyBorder="1" applyAlignment="1">
      <alignment horizontal="center" vertical="center" wrapText="1" readingOrder="1"/>
    </xf>
    <xf numFmtId="9" fontId="47" fillId="36" borderId="63" xfId="43" applyFont="1" applyFill="1" applyBorder="1" applyAlignment="1">
      <alignment horizontal="center" vertical="center" wrapText="1" readingOrder="1"/>
    </xf>
    <xf numFmtId="9" fontId="47" fillId="53" borderId="63" xfId="43" applyFont="1" applyFill="1" applyBorder="1" applyAlignment="1">
      <alignment horizontal="center" vertical="center" wrapText="1" readingOrder="1"/>
    </xf>
    <xf numFmtId="9" fontId="48" fillId="36" borderId="63" xfId="0" applyNumberFormat="1" applyFont="1" applyFill="1" applyBorder="1" applyAlignment="1">
      <alignment horizontal="center" vertical="center" wrapText="1" readingOrder="1"/>
    </xf>
    <xf numFmtId="9" fontId="47" fillId="53" borderId="62" xfId="0" applyNumberFormat="1" applyFont="1" applyFill="1" applyBorder="1" applyAlignment="1">
      <alignment horizontal="center" vertical="center" wrapText="1" readingOrder="1"/>
    </xf>
    <xf numFmtId="9" fontId="47" fillId="53" borderId="63" xfId="0" applyNumberFormat="1" applyFont="1" applyFill="1" applyBorder="1" applyAlignment="1">
      <alignment horizontal="center" vertical="center" wrapText="1" readingOrder="1"/>
    </xf>
    <xf numFmtId="164" fontId="69" fillId="0" borderId="0" xfId="42" applyNumberFormat="1" applyFont="1"/>
    <xf numFmtId="164" fontId="14" fillId="0" borderId="0" xfId="42" applyNumberFormat="1" applyFont="1"/>
    <xf numFmtId="41" fontId="0" fillId="0" borderId="0" xfId="0" applyNumberFormat="1"/>
    <xf numFmtId="41" fontId="64" fillId="0" borderId="52" xfId="42" applyFont="1" applyBorder="1" applyAlignment="1">
      <alignment horizontal="right" vertical="center"/>
    </xf>
    <xf numFmtId="41" fontId="66" fillId="52" borderId="47" xfId="42" applyFont="1" applyFill="1" applyBorder="1" applyAlignment="1">
      <alignment horizontal="right" vertical="center"/>
    </xf>
    <xf numFmtId="41" fontId="64" fillId="0" borderId="52" xfId="42" applyFont="1" applyFill="1" applyBorder="1" applyAlignment="1">
      <alignment horizontal="right" vertical="center"/>
    </xf>
    <xf numFmtId="41" fontId="66" fillId="52" borderId="48" xfId="42" applyFont="1" applyFill="1" applyBorder="1" applyAlignment="1">
      <alignment horizontal="right" vertical="center"/>
    </xf>
    <xf numFmtId="41" fontId="66" fillId="51" borderId="49" xfId="0" applyNumberFormat="1" applyFont="1" applyFill="1" applyBorder="1" applyAlignment="1">
      <alignment horizontal="right" vertical="center"/>
    </xf>
    <xf numFmtId="0" fontId="57" fillId="0" borderId="0" xfId="0" applyFont="1" applyAlignment="1">
      <alignment horizontal="right"/>
    </xf>
    <xf numFmtId="0" fontId="57" fillId="0" borderId="0" xfId="0" applyFont="1" applyAlignment="1">
      <alignment horizontal="right" vertical="center"/>
    </xf>
    <xf numFmtId="41" fontId="39" fillId="0" borderId="52" xfId="42" applyFont="1" applyFill="1" applyBorder="1" applyAlignment="1">
      <alignment horizontal="right" vertical="center"/>
    </xf>
    <xf numFmtId="41" fontId="41" fillId="52" borderId="47" xfId="42" applyFont="1" applyFill="1" applyBorder="1" applyAlignment="1">
      <alignment horizontal="right" vertical="center"/>
    </xf>
    <xf numFmtId="41" fontId="39" fillId="0" borderId="52" xfId="42" applyFont="1" applyBorder="1" applyAlignment="1">
      <alignment horizontal="right" vertical="center"/>
    </xf>
    <xf numFmtId="41" fontId="41" fillId="52" borderId="48" xfId="42" applyFont="1" applyFill="1" applyBorder="1" applyAlignment="1">
      <alignment horizontal="right" vertical="center"/>
    </xf>
    <xf numFmtId="41" fontId="41" fillId="51" borderId="49" xfId="0" applyNumberFormat="1" applyFont="1" applyFill="1" applyBorder="1" applyAlignment="1">
      <alignment horizontal="right" vertical="center"/>
    </xf>
    <xf numFmtId="0" fontId="39" fillId="0" borderId="0" xfId="0" applyFont="1" applyAlignment="1">
      <alignment horizontal="right" vertical="center"/>
    </xf>
    <xf numFmtId="41" fontId="39" fillId="0" borderId="0" xfId="0" applyNumberFormat="1" applyFont="1" applyAlignment="1">
      <alignment horizontal="right" vertical="center"/>
    </xf>
    <xf numFmtId="41" fontId="41" fillId="52" borderId="67" xfId="42" applyFont="1" applyFill="1" applyBorder="1" applyAlignment="1">
      <alignment horizontal="right" vertical="center"/>
    </xf>
    <xf numFmtId="41" fontId="41" fillId="52" borderId="66" xfId="42" applyFont="1" applyFill="1" applyBorder="1" applyAlignment="1">
      <alignment horizontal="right" vertical="center"/>
    </xf>
    <xf numFmtId="41" fontId="39" fillId="0" borderId="53" xfId="42" applyFont="1" applyFill="1" applyBorder="1" applyAlignment="1">
      <alignment horizontal="right" vertical="center"/>
    </xf>
    <xf numFmtId="41" fontId="40" fillId="52" borderId="49" xfId="42" applyFont="1" applyFill="1" applyBorder="1" applyAlignment="1">
      <alignment horizontal="right" vertical="center"/>
    </xf>
    <xf numFmtId="41" fontId="40" fillId="51" borderId="49" xfId="0" applyNumberFormat="1" applyFont="1" applyFill="1" applyBorder="1" applyAlignment="1">
      <alignment horizontal="right" vertical="center"/>
    </xf>
    <xf numFmtId="164" fontId="16" fillId="0" borderId="0" xfId="0" applyNumberFormat="1" applyFont="1"/>
    <xf numFmtId="3" fontId="47" fillId="54" borderId="63" xfId="0" applyNumberFormat="1" applyFont="1" applyFill="1" applyBorder="1" applyAlignment="1">
      <alignment horizontal="center" vertical="center" wrapText="1" readingOrder="1"/>
    </xf>
    <xf numFmtId="164" fontId="70" fillId="0" borderId="0" xfId="42" applyNumberFormat="1" applyFont="1"/>
    <xf numFmtId="0" fontId="17" fillId="41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0" fillId="55" borderId="11" xfId="44" applyFont="1" applyFill="1" applyBorder="1" applyAlignment="1">
      <alignment horizontal="center" vertical="center" wrapText="1" readingOrder="1"/>
    </xf>
    <xf numFmtId="0" fontId="20" fillId="55" borderId="11" xfId="44" applyFont="1" applyFill="1" applyBorder="1" applyAlignment="1">
      <alignment horizontal="left" vertical="center" wrapText="1" readingOrder="1"/>
    </xf>
    <xf numFmtId="0" fontId="20" fillId="55" borderId="11" xfId="44" applyFont="1" applyFill="1" applyBorder="1" applyAlignment="1">
      <alignment vertical="center" wrapText="1" readingOrder="1"/>
    </xf>
    <xf numFmtId="7" fontId="0" fillId="0" borderId="0" xfId="42" applyNumberFormat="1" applyFont="1"/>
    <xf numFmtId="8" fontId="20" fillId="37" borderId="11" xfId="0" applyNumberFormat="1" applyFont="1" applyFill="1" applyBorder="1" applyAlignment="1">
      <alignment horizontal="right" vertical="center" wrapText="1" readingOrder="1"/>
    </xf>
    <xf numFmtId="8" fontId="20" fillId="55" borderId="11" xfId="0" applyNumberFormat="1" applyFont="1" applyFill="1" applyBorder="1" applyAlignment="1">
      <alignment horizontal="right" vertical="center" wrapText="1" readingOrder="1"/>
    </xf>
    <xf numFmtId="0" fontId="14" fillId="0" borderId="0" xfId="0" applyFont="1"/>
    <xf numFmtId="164" fontId="71" fillId="0" borderId="0" xfId="42" applyNumberFormat="1" applyFont="1"/>
    <xf numFmtId="0" fontId="71" fillId="0" borderId="0" xfId="0" applyFont="1"/>
    <xf numFmtId="164" fontId="72" fillId="0" borderId="0" xfId="42" applyNumberFormat="1" applyFont="1"/>
    <xf numFmtId="0" fontId="72" fillId="0" borderId="0" xfId="0" applyFont="1"/>
    <xf numFmtId="164" fontId="73" fillId="0" borderId="0" xfId="42" applyNumberFormat="1" applyFont="1"/>
    <xf numFmtId="0" fontId="73" fillId="0" borderId="0" xfId="0" applyFont="1"/>
    <xf numFmtId="49" fontId="18" fillId="0" borderId="0" xfId="0" applyNumberFormat="1" applyFont="1"/>
    <xf numFmtId="1" fontId="18" fillId="0" borderId="0" xfId="0" applyNumberFormat="1" applyFont="1"/>
    <xf numFmtId="164" fontId="18" fillId="0" borderId="0" xfId="42" applyNumberFormat="1" applyFont="1" applyBorder="1" applyAlignment="1">
      <alignment horizontal="left"/>
    </xf>
    <xf numFmtId="41" fontId="14" fillId="0" borderId="0" xfId="0" applyNumberFormat="1" applyFont="1"/>
    <xf numFmtId="164" fontId="74" fillId="0" borderId="0" xfId="42" applyNumberFormat="1" applyFont="1"/>
    <xf numFmtId="0" fontId="74" fillId="0" borderId="0" xfId="0" applyFont="1"/>
    <xf numFmtId="164" fontId="75" fillId="0" borderId="0" xfId="42" applyNumberFormat="1" applyFont="1"/>
    <xf numFmtId="0" fontId="75" fillId="0" borderId="0" xfId="0" applyFont="1"/>
    <xf numFmtId="0" fontId="62" fillId="51" borderId="49" xfId="0" applyFont="1" applyFill="1" applyBorder="1" applyAlignment="1">
      <alignment vertical="center"/>
    </xf>
    <xf numFmtId="0" fontId="41" fillId="51" borderId="49" xfId="0" applyFont="1" applyFill="1" applyBorder="1" applyAlignment="1">
      <alignment vertical="center"/>
    </xf>
    <xf numFmtId="0" fontId="40" fillId="51" borderId="49" xfId="0" applyFont="1" applyFill="1" applyBorder="1" applyAlignment="1">
      <alignment vertical="center"/>
    </xf>
    <xf numFmtId="4" fontId="37" fillId="47" borderId="0" xfId="46" applyNumberFormat="1" applyFont="1" applyFill="1" applyAlignment="1" applyProtection="1">
      <alignment vertical="center"/>
      <protection locked="0"/>
    </xf>
    <xf numFmtId="4" fontId="38" fillId="44" borderId="0" xfId="46" applyNumberFormat="1" applyFont="1" applyFill="1" applyAlignment="1" applyProtection="1">
      <alignment vertical="center"/>
      <protection locked="0"/>
    </xf>
    <xf numFmtId="4" fontId="38" fillId="35" borderId="0" xfId="46" applyNumberFormat="1" applyFont="1" applyFill="1" applyAlignment="1" applyProtection="1">
      <alignment vertical="center"/>
      <protection locked="0"/>
    </xf>
    <xf numFmtId="4" fontId="76" fillId="0" borderId="0" xfId="46" applyNumberFormat="1" applyFont="1" applyAlignment="1" applyProtection="1">
      <alignment vertical="center"/>
      <protection locked="0"/>
    </xf>
    <xf numFmtId="0" fontId="39" fillId="0" borderId="52" xfId="0" applyFont="1" applyBorder="1" applyAlignment="1">
      <alignment horizontal="center" vertical="center"/>
    </xf>
    <xf numFmtId="0" fontId="40" fillId="0" borderId="52" xfId="0" applyFont="1" applyBorder="1" applyAlignment="1">
      <alignment horizontal="center" vertical="center" wrapText="1"/>
    </xf>
    <xf numFmtId="0" fontId="41" fillId="0" borderId="52" xfId="0" applyFont="1" applyBorder="1" applyAlignment="1">
      <alignment horizontal="center" vertical="center" wrapText="1"/>
    </xf>
    <xf numFmtId="0" fontId="20" fillId="56" borderId="11" xfId="44" applyFont="1" applyFill="1" applyBorder="1" applyAlignment="1">
      <alignment horizontal="center" vertical="center" wrapText="1" readingOrder="1"/>
    </xf>
    <xf numFmtId="0" fontId="20" fillId="56" borderId="11" xfId="44" applyFont="1" applyFill="1" applyBorder="1" applyAlignment="1">
      <alignment horizontal="left" vertical="center" wrapText="1" readingOrder="1"/>
    </xf>
    <xf numFmtId="0" fontId="20" fillId="56" borderId="11" xfId="44" applyFont="1" applyFill="1" applyBorder="1" applyAlignment="1">
      <alignment vertical="center" wrapText="1" readingOrder="1"/>
    </xf>
    <xf numFmtId="8" fontId="20" fillId="56" borderId="11" xfId="0" applyNumberFormat="1" applyFont="1" applyFill="1" applyBorder="1" applyAlignment="1">
      <alignment horizontal="right" vertical="center" wrapText="1" readingOrder="1"/>
    </xf>
    <xf numFmtId="49" fontId="79" fillId="0" borderId="10" xfId="0" applyNumberFormat="1" applyFont="1" applyBorder="1"/>
    <xf numFmtId="1" fontId="79" fillId="0" borderId="10" xfId="0" applyNumberFormat="1" applyFont="1" applyBorder="1"/>
    <xf numFmtId="164" fontId="79" fillId="0" borderId="10" xfId="42" applyNumberFormat="1" applyFont="1" applyFill="1" applyBorder="1" applyAlignment="1">
      <alignment horizontal="left"/>
    </xf>
    <xf numFmtId="0" fontId="80" fillId="0" borderId="0" xfId="0" applyFont="1"/>
    <xf numFmtId="0" fontId="49" fillId="0" borderId="63" xfId="0" applyFont="1" applyBorder="1" applyAlignment="1">
      <alignment horizontal="center" vertical="center" wrapText="1" readingOrder="1"/>
    </xf>
    <xf numFmtId="164" fontId="0" fillId="0" borderId="0" xfId="0" applyNumberFormat="1"/>
    <xf numFmtId="164" fontId="0" fillId="39" borderId="0" xfId="0" applyNumberFormat="1" applyFill="1"/>
    <xf numFmtId="43" fontId="0" fillId="0" borderId="0" xfId="47" applyFont="1" applyFill="1"/>
    <xf numFmtId="9" fontId="40" fillId="47" borderId="49" xfId="43" applyFont="1" applyFill="1" applyBorder="1" applyAlignment="1">
      <alignment horizontal="center" vertical="center"/>
    </xf>
    <xf numFmtId="0" fontId="39" fillId="0" borderId="53" xfId="0" applyFont="1" applyBorder="1" applyAlignment="1">
      <alignment horizontal="center" vertical="center"/>
    </xf>
    <xf numFmtId="6" fontId="39" fillId="0" borderId="0" xfId="0" applyNumberFormat="1" applyFont="1" applyAlignment="1">
      <alignment horizontal="center" vertical="center" wrapText="1"/>
    </xf>
    <xf numFmtId="0" fontId="63" fillId="0" borderId="49" xfId="0" applyFont="1" applyBorder="1" applyAlignment="1">
      <alignment horizontal="center" vertical="center" wrapText="1"/>
    </xf>
    <xf numFmtId="9" fontId="66" fillId="47" borderId="51" xfId="43" applyFont="1" applyFill="1" applyBorder="1" applyAlignment="1">
      <alignment horizontal="center" vertical="center"/>
    </xf>
    <xf numFmtId="0" fontId="39" fillId="45" borderId="53" xfId="0" applyFont="1" applyFill="1" applyBorder="1" applyAlignment="1">
      <alignment vertical="center" wrapText="1"/>
    </xf>
    <xf numFmtId="0" fontId="50" fillId="36" borderId="60" xfId="0" applyFont="1" applyFill="1" applyBorder="1" applyAlignment="1">
      <alignment horizontal="center" vertical="center" wrapText="1" readingOrder="1"/>
    </xf>
    <xf numFmtId="0" fontId="0" fillId="39" borderId="0" xfId="0" applyFill="1" applyAlignment="1">
      <alignment horizontal="left"/>
    </xf>
    <xf numFmtId="0" fontId="0" fillId="39" borderId="0" xfId="0" applyFill="1"/>
    <xf numFmtId="43" fontId="0" fillId="39" borderId="0" xfId="47" applyFont="1" applyFill="1"/>
    <xf numFmtId="41" fontId="39" fillId="0" borderId="0" xfId="42" applyFont="1" applyFill="1"/>
    <xf numFmtId="0" fontId="62" fillId="0" borderId="49" xfId="0" applyFont="1" applyBorder="1" applyAlignment="1">
      <alignment vertical="center" wrapText="1"/>
    </xf>
    <xf numFmtId="43" fontId="0" fillId="39" borderId="0" xfId="0" applyNumberFormat="1" applyFill="1"/>
    <xf numFmtId="0" fontId="39" fillId="0" borderId="53" xfId="0" applyFont="1" applyBorder="1" applyAlignment="1">
      <alignment horizontal="center" vertical="center" wrapText="1"/>
    </xf>
    <xf numFmtId="0" fontId="40" fillId="0" borderId="53" xfId="0" applyFont="1" applyBorder="1" applyAlignment="1">
      <alignment horizontal="center" vertical="center" wrapText="1"/>
    </xf>
    <xf numFmtId="0" fontId="46" fillId="36" borderId="76" xfId="0" applyFont="1" applyFill="1" applyBorder="1" applyAlignment="1">
      <alignment horizontal="center" vertical="center" wrapText="1" readingOrder="1"/>
    </xf>
    <xf numFmtId="3" fontId="47" fillId="36" borderId="77" xfId="0" applyNumberFormat="1" applyFont="1" applyFill="1" applyBorder="1" applyAlignment="1">
      <alignment horizontal="center" vertical="center" wrapText="1" readingOrder="1"/>
    </xf>
    <xf numFmtId="3" fontId="47" fillId="53" borderId="78" xfId="0" applyNumberFormat="1" applyFont="1" applyFill="1" applyBorder="1" applyAlignment="1">
      <alignment horizontal="center" vertical="center" wrapText="1" readingOrder="1"/>
    </xf>
    <xf numFmtId="3" fontId="47" fillId="53" borderId="75" xfId="0" applyNumberFormat="1" applyFont="1" applyFill="1" applyBorder="1" applyAlignment="1">
      <alignment horizontal="center" vertical="center" wrapText="1" readingOrder="1"/>
    </xf>
    <xf numFmtId="3" fontId="47" fillId="36" borderId="0" xfId="0" applyNumberFormat="1" applyFont="1" applyFill="1" applyAlignment="1">
      <alignment horizontal="center" vertical="center" wrapText="1" readingOrder="1"/>
    </xf>
    <xf numFmtId="164" fontId="0" fillId="0" borderId="0" xfId="0" applyNumberFormat="1" applyAlignment="1">
      <alignment horizontal="left"/>
    </xf>
    <xf numFmtId="0" fontId="51" fillId="0" borderId="79" xfId="0" applyFont="1" applyBorder="1" applyAlignment="1">
      <alignment horizontal="center" vertical="center" wrapText="1" readingOrder="1"/>
    </xf>
    <xf numFmtId="3" fontId="52" fillId="0" borderId="79" xfId="0" applyNumberFormat="1" applyFont="1" applyBorder="1" applyAlignment="1">
      <alignment horizontal="center" vertical="center" wrapText="1" readingOrder="1"/>
    </xf>
    <xf numFmtId="9" fontId="52" fillId="0" borderId="79" xfId="0" applyNumberFormat="1" applyFont="1" applyBorder="1" applyAlignment="1">
      <alignment horizontal="center" vertical="center" wrapText="1" readingOrder="1"/>
    </xf>
    <xf numFmtId="0" fontId="50" fillId="36" borderId="80" xfId="0" applyFont="1" applyFill="1" applyBorder="1" applyAlignment="1">
      <alignment horizontal="center" vertical="center" wrapText="1" readingOrder="1"/>
    </xf>
    <xf numFmtId="0" fontId="51" fillId="36" borderId="81" xfId="0" applyFont="1" applyFill="1" applyBorder="1" applyAlignment="1">
      <alignment horizontal="center" vertical="center" wrapText="1" readingOrder="1"/>
    </xf>
    <xf numFmtId="3" fontId="52" fillId="36" borderId="81" xfId="0" applyNumberFormat="1" applyFont="1" applyFill="1" applyBorder="1" applyAlignment="1">
      <alignment horizontal="center" vertical="center" wrapText="1" readingOrder="1"/>
    </xf>
    <xf numFmtId="9" fontId="52" fillId="36" borderId="81" xfId="0" applyNumberFormat="1" applyFont="1" applyFill="1" applyBorder="1" applyAlignment="1">
      <alignment horizontal="center" vertical="center" wrapText="1" readingOrder="1"/>
    </xf>
    <xf numFmtId="0" fontId="51" fillId="0" borderId="81" xfId="0" applyFont="1" applyBorder="1" applyAlignment="1">
      <alignment horizontal="center" vertical="center" wrapText="1" readingOrder="1"/>
    </xf>
    <xf numFmtId="3" fontId="52" fillId="0" borderId="81" xfId="0" applyNumberFormat="1" applyFont="1" applyBorder="1" applyAlignment="1">
      <alignment horizontal="center" vertical="center" wrapText="1" readingOrder="1"/>
    </xf>
    <xf numFmtId="9" fontId="52" fillId="0" borderId="81" xfId="0" applyNumberFormat="1" applyFont="1" applyBorder="1" applyAlignment="1">
      <alignment horizontal="center" vertical="center" wrapText="1" readingOrder="1"/>
    </xf>
    <xf numFmtId="3" fontId="52" fillId="0" borderId="82" xfId="0" applyNumberFormat="1" applyFont="1" applyBorder="1" applyAlignment="1">
      <alignment horizontal="center" vertical="center" wrapText="1" readingOrder="1"/>
    </xf>
    <xf numFmtId="9" fontId="52" fillId="0" borderId="82" xfId="0" applyNumberFormat="1" applyFont="1" applyBorder="1" applyAlignment="1">
      <alignment horizontal="center" vertical="center" wrapText="1" readingOrder="1"/>
    </xf>
    <xf numFmtId="0" fontId="51" fillId="0" borderId="82" xfId="0" applyFont="1" applyBorder="1" applyAlignment="1">
      <alignment horizontal="center" vertical="center" wrapText="1" readingOrder="1"/>
    </xf>
    <xf numFmtId="0" fontId="51" fillId="0" borderId="84" xfId="0" applyFont="1" applyBorder="1" applyAlignment="1">
      <alignment horizontal="center" vertical="center" wrapText="1" readingOrder="1"/>
    </xf>
    <xf numFmtId="3" fontId="52" fillId="0" borderId="84" xfId="0" applyNumberFormat="1" applyFont="1" applyBorder="1" applyAlignment="1">
      <alignment horizontal="center" vertical="center" wrapText="1" readingOrder="1"/>
    </xf>
    <xf numFmtId="9" fontId="52" fillId="0" borderId="84" xfId="0" applyNumberFormat="1" applyFont="1" applyBorder="1" applyAlignment="1">
      <alignment horizontal="center" vertical="center" wrapText="1" readingOrder="1"/>
    </xf>
    <xf numFmtId="0" fontId="51" fillId="0" borderId="83" xfId="0" applyFont="1" applyBorder="1" applyAlignment="1">
      <alignment horizontal="center" vertical="center" wrapText="1" readingOrder="1"/>
    </xf>
    <xf numFmtId="3" fontId="52" fillId="0" borderId="83" xfId="0" applyNumberFormat="1" applyFont="1" applyBorder="1" applyAlignment="1">
      <alignment horizontal="center" vertical="center" wrapText="1" readingOrder="1"/>
    </xf>
    <xf numFmtId="9" fontId="52" fillId="0" borderId="83" xfId="0" applyNumberFormat="1" applyFont="1" applyBorder="1" applyAlignment="1">
      <alignment horizontal="center" vertical="center" wrapText="1" readingOrder="1"/>
    </xf>
    <xf numFmtId="0" fontId="45" fillId="36" borderId="81" xfId="0" applyFont="1" applyFill="1" applyBorder="1" applyAlignment="1">
      <alignment horizontal="center" vertical="center" wrapText="1" readingOrder="1"/>
    </xf>
    <xf numFmtId="3" fontId="53" fillId="36" borderId="81" xfId="0" applyNumberFormat="1" applyFont="1" applyFill="1" applyBorder="1" applyAlignment="1">
      <alignment horizontal="center" vertical="center" wrapText="1" readingOrder="1"/>
    </xf>
    <xf numFmtId="9" fontId="53" fillId="36" borderId="81" xfId="0" applyNumberFormat="1" applyFont="1" applyFill="1" applyBorder="1" applyAlignment="1">
      <alignment horizontal="center" vertical="center" wrapText="1" readingOrder="1"/>
    </xf>
    <xf numFmtId="0" fontId="16" fillId="0" borderId="0" xfId="0" applyFont="1"/>
    <xf numFmtId="166" fontId="53" fillId="36" borderId="81" xfId="0" applyNumberFormat="1" applyFont="1" applyFill="1" applyBorder="1" applyAlignment="1">
      <alignment horizontal="center" vertical="center" wrapText="1" readingOrder="1"/>
    </xf>
    <xf numFmtId="166" fontId="52" fillId="0" borderId="79" xfId="0" applyNumberFormat="1" applyFont="1" applyBorder="1" applyAlignment="1">
      <alignment horizontal="center" vertical="center" wrapText="1" readingOrder="1"/>
    </xf>
    <xf numFmtId="166" fontId="52" fillId="36" borderId="81" xfId="0" applyNumberFormat="1" applyFont="1" applyFill="1" applyBorder="1" applyAlignment="1">
      <alignment horizontal="center" vertical="center" wrapText="1" readingOrder="1"/>
    </xf>
    <xf numFmtId="166" fontId="52" fillId="0" borderId="81" xfId="0" applyNumberFormat="1" applyFont="1" applyBorder="1" applyAlignment="1">
      <alignment horizontal="center" vertical="center" wrapText="1" readingOrder="1"/>
    </xf>
    <xf numFmtId="10" fontId="40" fillId="47" borderId="49" xfId="43" applyNumberFormat="1" applyFont="1" applyFill="1" applyBorder="1" applyAlignment="1">
      <alignment horizontal="center" vertical="center"/>
    </xf>
    <xf numFmtId="41" fontId="39" fillId="0" borderId="85" xfId="42" applyFont="1" applyFill="1" applyBorder="1" applyAlignment="1">
      <alignment horizontal="right" vertical="center"/>
    </xf>
    <xf numFmtId="9" fontId="40" fillId="47" borderId="51" xfId="43" applyFont="1" applyFill="1" applyBorder="1" applyAlignment="1">
      <alignment horizontal="center" vertical="center"/>
    </xf>
    <xf numFmtId="9" fontId="39" fillId="0" borderId="85" xfId="43" applyFont="1" applyFill="1" applyBorder="1" applyAlignment="1">
      <alignment horizontal="center" vertical="center"/>
    </xf>
    <xf numFmtId="0" fontId="39" fillId="0" borderId="85" xfId="0" applyFont="1" applyBorder="1" applyAlignment="1">
      <alignment vertical="center" wrapText="1"/>
    </xf>
    <xf numFmtId="0" fontId="39" fillId="0" borderId="85" xfId="0" applyFont="1" applyBorder="1" applyAlignment="1">
      <alignment horizontal="center" vertical="center" wrapText="1"/>
    </xf>
    <xf numFmtId="3" fontId="39" fillId="0" borderId="85" xfId="0" applyNumberFormat="1" applyFont="1" applyBorder="1" applyAlignment="1">
      <alignment horizontal="center" vertical="center" wrapText="1"/>
    </xf>
    <xf numFmtId="0" fontId="39" fillId="0" borderId="85" xfId="0" applyFont="1" applyBorder="1" applyAlignment="1">
      <alignment vertical="center"/>
    </xf>
    <xf numFmtId="9" fontId="37" fillId="47" borderId="65" xfId="43" applyFont="1" applyFill="1" applyBorder="1" applyAlignment="1">
      <alignment horizontal="center" vertical="center"/>
    </xf>
    <xf numFmtId="0" fontId="41" fillId="49" borderId="53" xfId="0" applyFont="1" applyFill="1" applyBorder="1" applyAlignment="1">
      <alignment horizontal="center" vertical="center" wrapText="1" readingOrder="1"/>
    </xf>
    <xf numFmtId="41" fontId="40" fillId="49" borderId="56" xfId="42" applyFont="1" applyFill="1" applyBorder="1" applyAlignment="1">
      <alignment horizontal="right" vertical="center"/>
    </xf>
    <xf numFmtId="9" fontId="40" fillId="49" borderId="56" xfId="43" applyFont="1" applyFill="1" applyBorder="1" applyAlignment="1">
      <alignment horizontal="center" vertical="center"/>
    </xf>
    <xf numFmtId="0" fontId="37" fillId="0" borderId="85" xfId="0" applyFont="1" applyBorder="1" applyAlignment="1">
      <alignment horizontal="center" vertical="center"/>
    </xf>
    <xf numFmtId="0" fontId="37" fillId="0" borderId="85" xfId="0" applyFont="1" applyBorder="1" applyAlignment="1">
      <alignment horizontal="center" vertical="top" wrapText="1"/>
    </xf>
    <xf numFmtId="41" fontId="37" fillId="0" borderId="85" xfId="42" applyFont="1" applyFill="1" applyBorder="1" applyAlignment="1">
      <alignment horizontal="right" vertical="center"/>
    </xf>
    <xf numFmtId="9" fontId="37" fillId="0" borderId="85" xfId="43" applyFont="1" applyFill="1" applyBorder="1" applyAlignment="1">
      <alignment horizontal="center" vertical="center"/>
    </xf>
    <xf numFmtId="41" fontId="40" fillId="52" borderId="47" xfId="42" applyFont="1" applyFill="1" applyBorder="1" applyAlignment="1">
      <alignment horizontal="right" vertical="center"/>
    </xf>
    <xf numFmtId="9" fontId="40" fillId="52" borderId="47" xfId="43" applyFont="1" applyFill="1" applyBorder="1" applyAlignment="1">
      <alignment horizontal="center" vertical="center"/>
    </xf>
    <xf numFmtId="41" fontId="40" fillId="52" borderId="67" xfId="42" applyFont="1" applyFill="1" applyBorder="1" applyAlignment="1">
      <alignment horizontal="right" vertical="center"/>
    </xf>
    <xf numFmtId="0" fontId="41" fillId="50" borderId="55" xfId="0" applyFont="1" applyFill="1" applyBorder="1" applyAlignment="1">
      <alignment vertical="center" wrapText="1"/>
    </xf>
    <xf numFmtId="0" fontId="39" fillId="0" borderId="87" xfId="0" applyFont="1" applyBorder="1" applyAlignment="1">
      <alignment vertical="center" wrapText="1"/>
    </xf>
    <xf numFmtId="0" fontId="39" fillId="0" borderId="87" xfId="0" applyFont="1" applyBorder="1" applyAlignment="1">
      <alignment horizontal="center" vertical="center" wrapText="1"/>
    </xf>
    <xf numFmtId="3" fontId="39" fillId="0" borderId="87" xfId="0" applyNumberFormat="1" applyFont="1" applyBorder="1" applyAlignment="1">
      <alignment horizontal="center" vertical="center" wrapText="1"/>
    </xf>
    <xf numFmtId="0" fontId="39" fillId="0" borderId="87" xfId="0" applyFont="1" applyBorder="1" applyAlignment="1">
      <alignment vertical="center"/>
    </xf>
    <xf numFmtId="41" fontId="39" fillId="0" borderId="87" xfId="42" applyFont="1" applyFill="1" applyBorder="1" applyAlignment="1">
      <alignment horizontal="right" vertical="center"/>
    </xf>
    <xf numFmtId="9" fontId="39" fillId="0" borderId="87" xfId="43" applyFont="1" applyFill="1" applyBorder="1" applyAlignment="1">
      <alignment horizontal="center" vertical="center"/>
    </xf>
    <xf numFmtId="9" fontId="40" fillId="47" borderId="88" xfId="43" applyFont="1" applyFill="1" applyBorder="1" applyAlignment="1">
      <alignment horizontal="center" vertical="center"/>
    </xf>
    <xf numFmtId="41" fontId="41" fillId="50" borderId="49" xfId="0" applyNumberFormat="1" applyFont="1" applyFill="1" applyBorder="1" applyAlignment="1">
      <alignment horizontal="right" vertical="center"/>
    </xf>
    <xf numFmtId="9" fontId="41" fillId="50" borderId="49" xfId="43" applyFont="1" applyFill="1" applyBorder="1" applyAlignment="1">
      <alignment horizontal="center" vertical="center"/>
    </xf>
    <xf numFmtId="9" fontId="41" fillId="47" borderId="49" xfId="43" applyFont="1" applyFill="1" applyBorder="1" applyAlignment="1">
      <alignment horizontal="center" vertical="center"/>
    </xf>
    <xf numFmtId="41" fontId="39" fillId="45" borderId="38" xfId="42" applyFont="1" applyFill="1" applyBorder="1" applyAlignment="1">
      <alignment horizontal="center" vertical="center"/>
    </xf>
    <xf numFmtId="0" fontId="40" fillId="52" borderId="55" xfId="0" applyFont="1" applyFill="1" applyBorder="1" applyAlignment="1">
      <alignment vertical="center"/>
    </xf>
    <xf numFmtId="41" fontId="40" fillId="52" borderId="49" xfId="0" applyNumberFormat="1" applyFont="1" applyFill="1" applyBorder="1" applyAlignment="1">
      <alignment horizontal="right" vertical="center"/>
    </xf>
    <xf numFmtId="3" fontId="39" fillId="0" borderId="53" xfId="0" applyNumberFormat="1" applyFont="1" applyBorder="1" applyAlignment="1">
      <alignment horizontal="center" vertical="center" wrapText="1"/>
    </xf>
    <xf numFmtId="9" fontId="39" fillId="0" borderId="53" xfId="43" applyFont="1" applyFill="1" applyBorder="1" applyAlignment="1">
      <alignment horizontal="center" vertical="center"/>
    </xf>
    <xf numFmtId="9" fontId="39" fillId="47" borderId="53" xfId="43" applyFont="1" applyFill="1" applyBorder="1" applyAlignment="1">
      <alignment horizontal="center" vertical="center"/>
    </xf>
    <xf numFmtId="41" fontId="41" fillId="52" borderId="49" xfId="42" applyFont="1" applyFill="1" applyBorder="1" applyAlignment="1">
      <alignment horizontal="right" vertical="center"/>
    </xf>
    <xf numFmtId="9" fontId="41" fillId="52" borderId="49" xfId="43" applyFont="1" applyFill="1" applyBorder="1" applyAlignment="1">
      <alignment horizontal="center" vertical="center"/>
    </xf>
    <xf numFmtId="9" fontId="39" fillId="47" borderId="51" xfId="43" applyFont="1" applyFill="1" applyBorder="1" applyAlignment="1">
      <alignment horizontal="center" vertical="center"/>
    </xf>
    <xf numFmtId="41" fontId="40" fillId="52" borderId="48" xfId="42" applyFont="1" applyFill="1" applyBorder="1" applyAlignment="1">
      <alignment horizontal="right" vertical="center"/>
    </xf>
    <xf numFmtId="9" fontId="40" fillId="52" borderId="48" xfId="43" applyFont="1" applyFill="1" applyBorder="1" applyAlignment="1">
      <alignment horizontal="right" vertical="center"/>
    </xf>
    <xf numFmtId="0" fontId="39" fillId="0" borderId="89" xfId="0" applyFont="1" applyBorder="1" applyAlignment="1">
      <alignment horizontal="center" vertical="center" wrapText="1"/>
    </xf>
    <xf numFmtId="41" fontId="39" fillId="0" borderId="89" xfId="42" applyFont="1" applyFill="1" applyBorder="1" applyAlignment="1">
      <alignment horizontal="right" vertical="center"/>
    </xf>
    <xf numFmtId="9" fontId="39" fillId="0" borderId="89" xfId="43" applyFont="1" applyFill="1" applyBorder="1" applyAlignment="1">
      <alignment horizontal="center" vertical="center"/>
    </xf>
    <xf numFmtId="41" fontId="39" fillId="0" borderId="89" xfId="42" applyFont="1" applyFill="1" applyBorder="1" applyAlignment="1">
      <alignment horizontal="center" vertical="center"/>
    </xf>
    <xf numFmtId="0" fontId="40" fillId="0" borderId="89" xfId="0" applyFont="1" applyBorder="1" applyAlignment="1">
      <alignment horizontal="center" vertical="center" wrapText="1"/>
    </xf>
    <xf numFmtId="3" fontId="39" fillId="0" borderId="89" xfId="0" applyNumberFormat="1" applyFont="1" applyBorder="1" applyAlignment="1">
      <alignment horizontal="center" vertical="center" wrapText="1"/>
    </xf>
    <xf numFmtId="0" fontId="39" fillId="0" borderId="89" xfId="0" applyFont="1" applyBorder="1" applyAlignment="1">
      <alignment horizontal="center" vertical="center"/>
    </xf>
    <xf numFmtId="41" fontId="39" fillId="0" borderId="89" xfId="42" applyFont="1" applyBorder="1" applyAlignment="1">
      <alignment horizontal="right" vertical="center"/>
    </xf>
    <xf numFmtId="9" fontId="39" fillId="0" borderId="89" xfId="43" applyFont="1" applyBorder="1" applyAlignment="1">
      <alignment horizontal="center" vertical="center"/>
    </xf>
    <xf numFmtId="0" fontId="78" fillId="0" borderId="0" xfId="44" applyFont="1"/>
    <xf numFmtId="0" fontId="40" fillId="0" borderId="53" xfId="0" applyFont="1" applyBorder="1" applyAlignment="1">
      <alignment vertical="center" wrapText="1"/>
    </xf>
    <xf numFmtId="0" fontId="39" fillId="0" borderId="53" xfId="0" applyFont="1" applyBorder="1" applyAlignment="1">
      <alignment vertical="center"/>
    </xf>
    <xf numFmtId="8" fontId="22" fillId="0" borderId="0" xfId="44" applyNumberFormat="1" applyFont="1" applyAlignment="1">
      <alignment horizontal="center" vertical="center" wrapText="1" readingOrder="1"/>
    </xf>
    <xf numFmtId="41" fontId="22" fillId="0" borderId="0" xfId="42" applyFont="1" applyAlignment="1">
      <alignment horizontal="center" vertical="center" wrapText="1" readingOrder="1"/>
    </xf>
    <xf numFmtId="41" fontId="39" fillId="0" borderId="53" xfId="42" applyFont="1" applyFill="1" applyBorder="1" applyAlignment="1">
      <alignment vertical="center"/>
    </xf>
    <xf numFmtId="41" fontId="39" fillId="0" borderId="56" xfId="42" applyFont="1" applyFill="1" applyBorder="1" applyAlignment="1">
      <alignment vertical="center"/>
    </xf>
    <xf numFmtId="41" fontId="39" fillId="0" borderId="57" xfId="42" applyFont="1" applyFill="1" applyBorder="1" applyAlignment="1">
      <alignment vertical="center"/>
    </xf>
    <xf numFmtId="0" fontId="0" fillId="57" borderId="0" xfId="0" applyFill="1" applyAlignment="1">
      <alignment horizontal="left"/>
    </xf>
    <xf numFmtId="164" fontId="0" fillId="57" borderId="0" xfId="0" applyNumberFormat="1" applyFill="1"/>
    <xf numFmtId="0" fontId="0" fillId="57" borderId="0" xfId="0" applyFill="1"/>
    <xf numFmtId="43" fontId="0" fillId="57" borderId="0" xfId="47" applyFont="1" applyFill="1"/>
    <xf numFmtId="43" fontId="0" fillId="57" borderId="0" xfId="0" applyNumberFormat="1" applyFill="1"/>
    <xf numFmtId="0" fontId="81" fillId="0" borderId="38" xfId="0" applyFont="1" applyBorder="1"/>
    <xf numFmtId="166" fontId="41" fillId="47" borderId="51" xfId="43" applyNumberFormat="1" applyFont="1" applyFill="1" applyBorder="1" applyAlignment="1">
      <alignment horizontal="center" vertical="center"/>
    </xf>
    <xf numFmtId="166" fontId="37" fillId="47" borderId="51" xfId="43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7" fillId="0" borderId="58" xfId="0" applyFont="1" applyBorder="1" applyAlignment="1">
      <alignment horizontal="center" vertical="center" wrapText="1"/>
    </xf>
    <xf numFmtId="3" fontId="0" fillId="0" borderId="0" xfId="0" applyNumberFormat="1"/>
    <xf numFmtId="9" fontId="0" fillId="0" borderId="0" xfId="43" applyFont="1"/>
    <xf numFmtId="10" fontId="0" fillId="0" borderId="0" xfId="43" applyNumberFormat="1" applyFont="1"/>
    <xf numFmtId="0" fontId="39" fillId="45" borderId="0" xfId="0" applyFont="1" applyFill="1" applyAlignment="1">
      <alignment vertical="center" wrapText="1"/>
    </xf>
    <xf numFmtId="166" fontId="39" fillId="47" borderId="0" xfId="43" applyNumberFormat="1" applyFont="1" applyFill="1" applyBorder="1" applyAlignment="1">
      <alignment horizontal="center" vertical="center"/>
    </xf>
    <xf numFmtId="0" fontId="39" fillId="45" borderId="0" xfId="0" applyFont="1" applyFill="1" applyAlignment="1">
      <alignment horizontal="center" vertical="center"/>
    </xf>
    <xf numFmtId="0" fontId="39" fillId="45" borderId="0" xfId="0" applyFont="1" applyFill="1" applyAlignment="1">
      <alignment horizontal="left" vertical="center" wrapText="1"/>
    </xf>
    <xf numFmtId="166" fontId="40" fillId="47" borderId="51" xfId="43" applyNumberFormat="1" applyFont="1" applyFill="1" applyBorder="1" applyAlignment="1">
      <alignment horizontal="center" vertical="center"/>
    </xf>
    <xf numFmtId="166" fontId="47" fillId="53" borderId="63" xfId="0" applyNumberFormat="1" applyFont="1" applyFill="1" applyBorder="1" applyAlignment="1">
      <alignment horizontal="center" vertical="center" wrapText="1" readingOrder="1"/>
    </xf>
    <xf numFmtId="166" fontId="48" fillId="36" borderId="63" xfId="0" applyNumberFormat="1" applyFont="1" applyFill="1" applyBorder="1" applyAlignment="1">
      <alignment horizontal="center" vertical="center" wrapText="1" readingOrder="1"/>
    </xf>
    <xf numFmtId="41" fontId="37" fillId="0" borderId="95" xfId="42" applyFont="1" applyFill="1" applyBorder="1" applyAlignment="1">
      <alignment horizontal="right" vertical="center"/>
    </xf>
    <xf numFmtId="0" fontId="37" fillId="0" borderId="87" xfId="0" applyFont="1" applyBorder="1" applyAlignment="1">
      <alignment horizontal="center" vertical="center"/>
    </xf>
    <xf numFmtId="0" fontId="37" fillId="0" borderId="87" xfId="0" applyFont="1" applyBorder="1" applyAlignment="1">
      <alignment horizontal="center" vertical="top" wrapText="1"/>
    </xf>
    <xf numFmtId="0" fontId="40" fillId="0" borderId="52" xfId="0" applyFont="1" applyBorder="1" applyAlignment="1">
      <alignment horizontal="center" vertical="center"/>
    </xf>
    <xf numFmtId="41" fontId="39" fillId="0" borderId="97" xfId="42" applyFont="1" applyFill="1" applyBorder="1" applyAlignment="1">
      <alignment horizontal="right" vertical="center"/>
    </xf>
    <xf numFmtId="9" fontId="39" fillId="0" borderId="97" xfId="43" applyFont="1" applyFill="1" applyBorder="1" applyAlignment="1">
      <alignment horizontal="center" vertical="center"/>
    </xf>
    <xf numFmtId="43" fontId="0" fillId="0" borderId="0" xfId="0" applyNumberFormat="1"/>
    <xf numFmtId="8" fontId="20" fillId="0" borderId="11" xfId="0" applyNumberFormat="1" applyFont="1" applyBorder="1" applyAlignment="1">
      <alignment horizontal="right" vertical="center" wrapText="1" readingOrder="1"/>
    </xf>
    <xf numFmtId="8" fontId="77" fillId="0" borderId="11" xfId="0" applyNumberFormat="1" applyFont="1" applyBorder="1" applyAlignment="1">
      <alignment horizontal="right" vertical="center" wrapText="1" readingOrder="1"/>
    </xf>
    <xf numFmtId="0" fontId="22" fillId="0" borderId="98" xfId="44" applyFont="1" applyBorder="1" applyAlignment="1">
      <alignment horizontal="center" vertical="center" wrapText="1" readingOrder="1"/>
    </xf>
    <xf numFmtId="8" fontId="20" fillId="37" borderId="98" xfId="0" applyNumberFormat="1" applyFont="1" applyFill="1" applyBorder="1" applyAlignment="1">
      <alignment horizontal="right" vertical="center" wrapText="1" readingOrder="1"/>
    </xf>
    <xf numFmtId="8" fontId="20" fillId="55" borderId="98" xfId="0" applyNumberFormat="1" applyFont="1" applyFill="1" applyBorder="1" applyAlignment="1">
      <alignment horizontal="right" vertical="center" wrapText="1" readingOrder="1"/>
    </xf>
    <xf numFmtId="8" fontId="20" fillId="56" borderId="98" xfId="0" applyNumberFormat="1" applyFont="1" applyFill="1" applyBorder="1" applyAlignment="1">
      <alignment horizontal="right" vertical="center" wrapText="1" readingOrder="1"/>
    </xf>
    <xf numFmtId="165" fontId="24" fillId="38" borderId="98" xfId="44" applyNumberFormat="1" applyFont="1" applyFill="1" applyBorder="1" applyAlignment="1">
      <alignment horizontal="right" vertical="center" wrapText="1" readingOrder="1"/>
    </xf>
    <xf numFmtId="0" fontId="25" fillId="0" borderId="98" xfId="44" applyFont="1" applyBorder="1" applyAlignment="1">
      <alignment horizontal="right" vertical="center" wrapText="1" readingOrder="1"/>
    </xf>
    <xf numFmtId="0" fontId="23" fillId="0" borderId="0" xfId="44" applyFont="1" applyAlignment="1">
      <alignment wrapText="1"/>
    </xf>
    <xf numFmtId="8" fontId="20" fillId="0" borderId="0" xfId="0" applyNumberFormat="1" applyFont="1" applyAlignment="1">
      <alignment horizontal="right" vertical="center" wrapText="1" readingOrder="1"/>
    </xf>
    <xf numFmtId="8" fontId="23" fillId="0" borderId="0" xfId="44" applyNumberFormat="1" applyFont="1"/>
    <xf numFmtId="8" fontId="77" fillId="0" borderId="0" xfId="0" applyNumberFormat="1" applyFont="1" applyAlignment="1">
      <alignment horizontal="right" vertical="center" wrapText="1" readingOrder="1"/>
    </xf>
    <xf numFmtId="165" fontId="24" fillId="0" borderId="0" xfId="44" applyNumberFormat="1" applyFont="1" applyAlignment="1">
      <alignment horizontal="right" vertical="center" wrapText="1" readingOrder="1"/>
    </xf>
    <xf numFmtId="0" fontId="20" fillId="58" borderId="11" xfId="44" applyFont="1" applyFill="1" applyBorder="1" applyAlignment="1">
      <alignment horizontal="center" vertical="center" wrapText="1" readingOrder="1"/>
    </xf>
    <xf numFmtId="0" fontId="20" fillId="58" borderId="11" xfId="44" applyFont="1" applyFill="1" applyBorder="1" applyAlignment="1">
      <alignment horizontal="left" vertical="center" wrapText="1" readingOrder="1"/>
    </xf>
    <xf numFmtId="0" fontId="20" fillId="58" borderId="11" xfId="44" applyFont="1" applyFill="1" applyBorder="1" applyAlignment="1">
      <alignment vertical="center" wrapText="1" readingOrder="1"/>
    </xf>
    <xf numFmtId="8" fontId="20" fillId="58" borderId="11" xfId="0" applyNumberFormat="1" applyFont="1" applyFill="1" applyBorder="1" applyAlignment="1">
      <alignment horizontal="right" vertical="center" wrapText="1" readingOrder="1"/>
    </xf>
    <xf numFmtId="8" fontId="20" fillId="58" borderId="98" xfId="0" applyNumberFormat="1" applyFont="1" applyFill="1" applyBorder="1" applyAlignment="1">
      <alignment horizontal="right" vertical="center" wrapText="1" readingOrder="1"/>
    </xf>
    <xf numFmtId="8" fontId="20" fillId="0" borderId="98" xfId="0" applyNumberFormat="1" applyFont="1" applyBorder="1" applyAlignment="1">
      <alignment horizontal="right" vertical="center" wrapText="1" readingOrder="1"/>
    </xf>
    <xf numFmtId="0" fontId="77" fillId="0" borderId="11" xfId="44" applyFont="1" applyBorder="1" applyAlignment="1">
      <alignment horizontal="center" vertical="center" wrapText="1" readingOrder="1"/>
    </xf>
    <xf numFmtId="0" fontId="77" fillId="0" borderId="11" xfId="44" applyFont="1" applyBorder="1" applyAlignment="1">
      <alignment horizontal="left" vertical="center" wrapText="1" readingOrder="1"/>
    </xf>
    <xf numFmtId="0" fontId="77" fillId="0" borderId="11" xfId="44" applyFont="1" applyBorder="1" applyAlignment="1">
      <alignment vertical="center" wrapText="1" readingOrder="1"/>
    </xf>
    <xf numFmtId="8" fontId="77" fillId="0" borderId="98" xfId="0" applyNumberFormat="1" applyFont="1" applyBorder="1" applyAlignment="1">
      <alignment horizontal="right" vertical="center" wrapText="1" readingOrder="1"/>
    </xf>
    <xf numFmtId="0" fontId="45" fillId="36" borderId="60" xfId="0" applyFont="1" applyFill="1" applyBorder="1" applyAlignment="1">
      <alignment horizontal="center" vertical="center" wrapText="1" readingOrder="1"/>
    </xf>
    <xf numFmtId="0" fontId="45" fillId="36" borderId="61" xfId="0" applyFont="1" applyFill="1" applyBorder="1" applyAlignment="1">
      <alignment horizontal="center" vertical="center" wrapText="1" readingOrder="1"/>
    </xf>
    <xf numFmtId="0" fontId="50" fillId="36" borderId="60" xfId="0" applyFont="1" applyFill="1" applyBorder="1" applyAlignment="1">
      <alignment horizontal="center" vertical="center" wrapText="1" readingOrder="1"/>
    </xf>
    <xf numFmtId="0" fontId="50" fillId="36" borderId="80" xfId="0" applyFont="1" applyFill="1" applyBorder="1" applyAlignment="1">
      <alignment horizontal="center" vertical="center" wrapText="1" readingOrder="1"/>
    </xf>
    <xf numFmtId="0" fontId="34" fillId="33" borderId="23" xfId="0" applyFont="1" applyFill="1" applyBorder="1" applyAlignment="1">
      <alignment horizontal="center" vertical="center" wrapText="1" readingOrder="1"/>
    </xf>
    <xf numFmtId="0" fontId="34" fillId="33" borderId="24" xfId="0" applyFont="1" applyFill="1" applyBorder="1" applyAlignment="1">
      <alignment horizontal="center" vertical="center" wrapText="1" readingOrder="1"/>
    </xf>
    <xf numFmtId="0" fontId="32" fillId="33" borderId="13" xfId="0" applyFont="1" applyFill="1" applyBorder="1" applyAlignment="1">
      <alignment horizontal="center" vertical="center" wrapText="1" readingOrder="1"/>
    </xf>
    <xf numFmtId="0" fontId="32" fillId="33" borderId="14" xfId="0" applyFont="1" applyFill="1" applyBorder="1" applyAlignment="1">
      <alignment horizontal="center" vertical="center" wrapText="1" readingOrder="1"/>
    </xf>
    <xf numFmtId="0" fontId="32" fillId="33" borderId="15" xfId="0" applyFont="1" applyFill="1" applyBorder="1" applyAlignment="1">
      <alignment horizontal="center" vertical="center" wrapText="1" readingOrder="1"/>
    </xf>
    <xf numFmtId="0" fontId="29" fillId="40" borderId="13" xfId="0" applyFont="1" applyFill="1" applyBorder="1" applyAlignment="1">
      <alignment horizontal="center" vertical="center" wrapText="1" readingOrder="1"/>
    </xf>
    <xf numFmtId="0" fontId="29" fillId="40" borderId="14" xfId="0" applyFont="1" applyFill="1" applyBorder="1" applyAlignment="1">
      <alignment horizontal="center" vertical="center" wrapText="1" readingOrder="1"/>
    </xf>
    <xf numFmtId="0" fontId="29" fillId="40" borderId="15" xfId="0" applyFont="1" applyFill="1" applyBorder="1" applyAlignment="1">
      <alignment horizontal="center" vertical="center" wrapText="1" readingOrder="1"/>
    </xf>
    <xf numFmtId="0" fontId="29" fillId="40" borderId="16" xfId="0" applyFont="1" applyFill="1" applyBorder="1" applyAlignment="1">
      <alignment horizontal="center" vertical="center" wrapText="1" readingOrder="1"/>
    </xf>
    <xf numFmtId="0" fontId="29" fillId="40" borderId="31" xfId="0" applyFont="1" applyFill="1" applyBorder="1" applyAlignment="1">
      <alignment horizontal="center" vertical="center" wrapText="1" readingOrder="1"/>
    </xf>
    <xf numFmtId="0" fontId="29" fillId="40" borderId="30" xfId="0" applyFont="1" applyFill="1" applyBorder="1" applyAlignment="1">
      <alignment horizontal="center" vertical="center" wrapText="1" readingOrder="1"/>
    </xf>
    <xf numFmtId="0" fontId="29" fillId="40" borderId="20" xfId="0" applyFont="1" applyFill="1" applyBorder="1" applyAlignment="1">
      <alignment horizontal="center" vertical="center" wrapText="1" readingOrder="1"/>
    </xf>
    <xf numFmtId="0" fontId="29" fillId="0" borderId="23" xfId="0" applyFont="1" applyBorder="1" applyAlignment="1">
      <alignment horizontal="center" vertical="center" wrapText="1" readingOrder="1"/>
    </xf>
    <xf numFmtId="0" fontId="29" fillId="0" borderId="24" xfId="0" applyFont="1" applyBorder="1" applyAlignment="1">
      <alignment horizontal="center" vertical="center" wrapText="1" readingOrder="1"/>
    </xf>
    <xf numFmtId="0" fontId="29" fillId="0" borderId="0" xfId="0" applyFont="1" applyAlignment="1">
      <alignment horizontal="center" vertical="center" wrapText="1" readingOrder="1"/>
    </xf>
    <xf numFmtId="0" fontId="34" fillId="33" borderId="22" xfId="0" applyFont="1" applyFill="1" applyBorder="1" applyAlignment="1">
      <alignment horizontal="center" vertical="center" wrapText="1" readingOrder="1"/>
    </xf>
    <xf numFmtId="0" fontId="34" fillId="33" borderId="18" xfId="0" applyFont="1" applyFill="1" applyBorder="1" applyAlignment="1">
      <alignment horizontal="center" vertical="center" wrapText="1" readingOrder="1"/>
    </xf>
    <xf numFmtId="0" fontId="34" fillId="33" borderId="21" xfId="0" applyFont="1" applyFill="1" applyBorder="1" applyAlignment="1">
      <alignment horizontal="center" vertical="center" wrapText="1" readingOrder="1"/>
    </xf>
    <xf numFmtId="0" fontId="34" fillId="33" borderId="0" xfId="0" applyFont="1" applyFill="1" applyAlignment="1">
      <alignment horizontal="center" vertical="center" wrapText="1" readingOrder="1"/>
    </xf>
    <xf numFmtId="0" fontId="39" fillId="0" borderId="54" xfId="0" applyFont="1" applyBorder="1" applyAlignment="1">
      <alignment horizontal="center" vertical="center" wrapText="1"/>
    </xf>
    <xf numFmtId="0" fontId="39" fillId="0" borderId="59" xfId="0" applyFont="1" applyBorder="1" applyAlignment="1">
      <alignment horizontal="center" vertical="center" wrapText="1"/>
    </xf>
    <xf numFmtId="0" fontId="39" fillId="0" borderId="58" xfId="0" applyFont="1" applyBorder="1" applyAlignment="1">
      <alignment horizontal="center" vertical="center" wrapText="1"/>
    </xf>
    <xf numFmtId="0" fontId="40" fillId="0" borderId="85" xfId="0" applyFont="1" applyBorder="1" applyAlignment="1">
      <alignment horizontal="center" vertical="center" wrapText="1"/>
    </xf>
    <xf numFmtId="0" fontId="40" fillId="0" borderId="87" xfId="0" applyFont="1" applyBorder="1" applyAlignment="1">
      <alignment horizontal="center" vertical="center" wrapText="1"/>
    </xf>
    <xf numFmtId="0" fontId="39" fillId="0" borderId="85" xfId="0" applyFont="1" applyBorder="1" applyAlignment="1">
      <alignment horizontal="center" vertical="center" wrapText="1"/>
    </xf>
    <xf numFmtId="0" fontId="39" fillId="0" borderId="87" xfId="0" applyFont="1" applyBorder="1" applyAlignment="1">
      <alignment horizontal="center" vertical="center" wrapText="1"/>
    </xf>
    <xf numFmtId="0" fontId="41" fillId="50" borderId="49" xfId="0" applyFont="1" applyFill="1" applyBorder="1" applyAlignment="1">
      <alignment horizontal="center" vertical="center" wrapText="1"/>
    </xf>
    <xf numFmtId="0" fontId="41" fillId="0" borderId="52" xfId="0" applyFont="1" applyBorder="1" applyAlignment="1">
      <alignment horizontal="center" vertical="center" wrapText="1"/>
    </xf>
    <xf numFmtId="0" fontId="37" fillId="0" borderId="85" xfId="0" applyFont="1" applyBorder="1" applyAlignment="1">
      <alignment horizontal="center" vertical="center" wrapText="1"/>
    </xf>
    <xf numFmtId="0" fontId="37" fillId="0" borderId="85" xfId="0" applyFont="1" applyBorder="1" applyAlignment="1">
      <alignment horizontal="center" vertical="center"/>
    </xf>
    <xf numFmtId="0" fontId="37" fillId="0" borderId="87" xfId="0" applyFont="1" applyBorder="1" applyAlignment="1">
      <alignment horizontal="center" vertical="center"/>
    </xf>
    <xf numFmtId="0" fontId="37" fillId="0" borderId="87" xfId="0" applyFont="1" applyBorder="1" applyAlignment="1">
      <alignment horizontal="center" vertical="center" wrapText="1"/>
    </xf>
    <xf numFmtId="0" fontId="41" fillId="0" borderId="85" xfId="0" applyFont="1" applyBorder="1" applyAlignment="1">
      <alignment horizontal="center" vertical="center" wrapText="1"/>
    </xf>
    <xf numFmtId="0" fontId="41" fillId="0" borderId="87" xfId="0" applyFont="1" applyBorder="1" applyAlignment="1">
      <alignment horizontal="center" vertical="center" wrapText="1"/>
    </xf>
    <xf numFmtId="0" fontId="37" fillId="0" borderId="54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58" xfId="0" applyFont="1" applyBorder="1" applyAlignment="1">
      <alignment horizontal="center" vertical="center" wrapText="1"/>
    </xf>
    <xf numFmtId="0" fontId="40" fillId="52" borderId="49" xfId="0" applyFont="1" applyFill="1" applyBorder="1" applyAlignment="1">
      <alignment horizontal="center" vertical="center" wrapText="1"/>
    </xf>
    <xf numFmtId="0" fontId="41" fillId="49" borderId="53" xfId="0" applyFont="1" applyFill="1" applyBorder="1" applyAlignment="1">
      <alignment horizontal="center" vertical="center" wrapText="1" readingOrder="1"/>
    </xf>
    <xf numFmtId="3" fontId="37" fillId="0" borderId="85" xfId="0" applyNumberFormat="1" applyFont="1" applyBorder="1" applyAlignment="1">
      <alignment horizontal="center" vertical="center"/>
    </xf>
    <xf numFmtId="3" fontId="37" fillId="0" borderId="87" xfId="0" applyNumberFormat="1" applyFont="1" applyBorder="1" applyAlignment="1">
      <alignment horizontal="center" vertical="center"/>
    </xf>
    <xf numFmtId="41" fontId="39" fillId="45" borderId="49" xfId="42" applyFont="1" applyFill="1" applyBorder="1" applyAlignment="1">
      <alignment horizontal="center" vertical="center"/>
    </xf>
    <xf numFmtId="41" fontId="39" fillId="0" borderId="49" xfId="42" applyFont="1" applyBorder="1" applyAlignment="1">
      <alignment horizontal="center" vertical="center"/>
    </xf>
    <xf numFmtId="9" fontId="39" fillId="45" borderId="49" xfId="43" applyFont="1" applyFill="1" applyBorder="1" applyAlignment="1">
      <alignment horizontal="center" vertical="center"/>
    </xf>
    <xf numFmtId="9" fontId="39" fillId="0" borderId="49" xfId="43" applyFont="1" applyBorder="1" applyAlignment="1">
      <alignment horizontal="center" vertical="center"/>
    </xf>
    <xf numFmtId="0" fontId="39" fillId="0" borderId="85" xfId="0" applyFont="1" applyBorder="1" applyAlignment="1">
      <alignment horizontal="center" vertical="center"/>
    </xf>
    <xf numFmtId="0" fontId="39" fillId="0" borderId="87" xfId="0" applyFont="1" applyBorder="1" applyAlignment="1">
      <alignment horizontal="center" vertical="center"/>
    </xf>
    <xf numFmtId="0" fontId="40" fillId="52" borderId="67" xfId="0" applyFont="1" applyFill="1" applyBorder="1" applyAlignment="1">
      <alignment horizontal="center" vertical="center" wrapText="1"/>
    </xf>
    <xf numFmtId="0" fontId="40" fillId="52" borderId="0" xfId="0" applyFont="1" applyFill="1" applyAlignment="1">
      <alignment horizontal="center" vertical="center" wrapText="1"/>
    </xf>
    <xf numFmtId="0" fontId="40" fillId="52" borderId="86" xfId="0" applyFont="1" applyFill="1" applyBorder="1" applyAlignment="1">
      <alignment horizontal="center" vertical="center" wrapText="1"/>
    </xf>
    <xf numFmtId="0" fontId="41" fillId="0" borderId="96" xfId="0" applyFont="1" applyBorder="1" applyAlignment="1">
      <alignment horizontal="center" vertical="center" wrapText="1"/>
    </xf>
    <xf numFmtId="0" fontId="40" fillId="49" borderId="92" xfId="0" applyFont="1" applyFill="1" applyBorder="1" applyAlignment="1">
      <alignment horizontal="center" vertical="center"/>
    </xf>
    <xf numFmtId="0" fontId="40" fillId="49" borderId="93" xfId="0" applyFont="1" applyFill="1" applyBorder="1" applyAlignment="1">
      <alignment horizontal="center" vertical="center"/>
    </xf>
    <xf numFmtId="0" fontId="40" fillId="49" borderId="94" xfId="0" applyFont="1" applyFill="1" applyBorder="1" applyAlignment="1">
      <alignment horizontal="center" vertical="center"/>
    </xf>
    <xf numFmtId="0" fontId="40" fillId="52" borderId="52" xfId="0" applyFont="1" applyFill="1" applyBorder="1" applyAlignment="1">
      <alignment horizontal="center" vertical="center" wrapText="1" readingOrder="1"/>
    </xf>
    <xf numFmtId="0" fontId="40" fillId="0" borderId="52" xfId="0" applyFont="1" applyBorder="1" applyAlignment="1">
      <alignment horizontal="center" vertical="center" wrapText="1"/>
    </xf>
    <xf numFmtId="3" fontId="39" fillId="0" borderId="52" xfId="0" applyNumberFormat="1" applyFont="1" applyBorder="1" applyAlignment="1">
      <alignment horizontal="center" vertical="center"/>
    </xf>
    <xf numFmtId="0" fontId="39" fillId="0" borderId="53" xfId="0" applyFont="1" applyBorder="1" applyAlignment="1">
      <alignment horizontal="center" vertical="center" wrapText="1"/>
    </xf>
    <xf numFmtId="0" fontId="39" fillId="0" borderId="56" xfId="0" applyFont="1" applyBorder="1" applyAlignment="1">
      <alignment horizontal="center" vertical="center" wrapText="1"/>
    </xf>
    <xf numFmtId="0" fontId="39" fillId="0" borderId="57" xfId="0" applyFont="1" applyBorder="1" applyAlignment="1">
      <alignment horizontal="center" vertical="center" wrapText="1"/>
    </xf>
    <xf numFmtId="0" fontId="39" fillId="0" borderId="53" xfId="0" applyFont="1" applyBorder="1" applyAlignment="1">
      <alignment horizontal="center" vertical="center"/>
    </xf>
    <xf numFmtId="0" fontId="39" fillId="0" borderId="56" xfId="0" applyFont="1" applyBorder="1" applyAlignment="1">
      <alignment horizontal="center" vertical="center"/>
    </xf>
    <xf numFmtId="0" fontId="39" fillId="0" borderId="57" xfId="0" applyFont="1" applyBorder="1" applyAlignment="1">
      <alignment horizontal="center" vertical="center"/>
    </xf>
    <xf numFmtId="0" fontId="40" fillId="52" borderId="49" xfId="0" applyFont="1" applyFill="1" applyBorder="1" applyAlignment="1">
      <alignment horizontal="center" vertical="center"/>
    </xf>
    <xf numFmtId="41" fontId="39" fillId="45" borderId="41" xfId="42" applyFont="1" applyFill="1" applyBorder="1" applyAlignment="1">
      <alignment horizontal="center" vertical="center"/>
    </xf>
    <xf numFmtId="41" fontId="39" fillId="45" borderId="38" xfId="42" applyFont="1" applyFill="1" applyBorder="1" applyAlignment="1">
      <alignment horizontal="center" vertical="center"/>
    </xf>
    <xf numFmtId="41" fontId="39" fillId="45" borderId="39" xfId="42" applyFont="1" applyFill="1" applyBorder="1" applyAlignment="1">
      <alignment horizontal="center" vertical="center"/>
    </xf>
    <xf numFmtId="9" fontId="39" fillId="45" borderId="41" xfId="43" applyFont="1" applyFill="1" applyBorder="1" applyAlignment="1">
      <alignment horizontal="center" vertical="center"/>
    </xf>
    <xf numFmtId="9" fontId="39" fillId="45" borderId="38" xfId="43" applyFont="1" applyFill="1" applyBorder="1" applyAlignment="1">
      <alignment horizontal="center" vertical="center"/>
    </xf>
    <xf numFmtId="41" fontId="39" fillId="0" borderId="41" xfId="42" applyFont="1" applyFill="1" applyBorder="1" applyAlignment="1">
      <alignment horizontal="center" vertical="center"/>
    </xf>
    <xf numFmtId="41" fontId="39" fillId="0" borderId="39" xfId="42" applyFont="1" applyFill="1" applyBorder="1" applyAlignment="1">
      <alignment horizontal="center" vertical="center"/>
    </xf>
    <xf numFmtId="9" fontId="39" fillId="0" borderId="38" xfId="43" applyFont="1" applyFill="1" applyBorder="1" applyAlignment="1">
      <alignment horizontal="center" vertical="center"/>
    </xf>
    <xf numFmtId="0" fontId="40" fillId="0" borderId="53" xfId="0" applyFont="1" applyBorder="1" applyAlignment="1">
      <alignment horizontal="center" vertical="center" wrapText="1"/>
    </xf>
    <xf numFmtId="0" fontId="40" fillId="0" borderId="56" xfId="0" applyFont="1" applyBorder="1" applyAlignment="1">
      <alignment horizontal="center" vertical="center" wrapText="1"/>
    </xf>
    <xf numFmtId="0" fontId="40" fillId="0" borderId="57" xfId="0" applyFont="1" applyBorder="1" applyAlignment="1">
      <alignment horizontal="center" vertical="center" wrapText="1"/>
    </xf>
    <xf numFmtId="0" fontId="40" fillId="52" borderId="72" xfId="0" applyFont="1" applyFill="1" applyBorder="1" applyAlignment="1">
      <alignment horizontal="center" vertical="center" wrapText="1"/>
    </xf>
    <xf numFmtId="0" fontId="40" fillId="52" borderId="73" xfId="0" applyFont="1" applyFill="1" applyBorder="1" applyAlignment="1">
      <alignment horizontal="center" vertical="center" wrapText="1"/>
    </xf>
    <xf numFmtId="0" fontId="40" fillId="52" borderId="74" xfId="0" applyFont="1" applyFill="1" applyBorder="1" applyAlignment="1">
      <alignment horizontal="center" vertical="center" wrapText="1"/>
    </xf>
    <xf numFmtId="0" fontId="41" fillId="52" borderId="49" xfId="0" applyFont="1" applyFill="1" applyBorder="1" applyAlignment="1">
      <alignment horizontal="center" vertical="center" wrapText="1"/>
    </xf>
    <xf numFmtId="0" fontId="40" fillId="0" borderId="97" xfId="0" applyFont="1" applyBorder="1" applyAlignment="1">
      <alignment horizontal="center" vertical="center" wrapText="1"/>
    </xf>
    <xf numFmtId="41" fontId="64" fillId="0" borderId="0" xfId="0" applyNumberFormat="1" applyFont="1" applyAlignment="1">
      <alignment horizontal="center" vertical="center"/>
    </xf>
    <xf numFmtId="9" fontId="64" fillId="0" borderId="0" xfId="43" applyFont="1" applyAlignment="1">
      <alignment horizontal="center" vertical="center"/>
    </xf>
    <xf numFmtId="0" fontId="61" fillId="33" borderId="34" xfId="0" applyFont="1" applyFill="1" applyBorder="1" applyAlignment="1">
      <alignment horizontal="center" vertical="center" wrapText="1"/>
    </xf>
    <xf numFmtId="0" fontId="61" fillId="33" borderId="35" xfId="0" applyFont="1" applyFill="1" applyBorder="1" applyAlignment="1">
      <alignment horizontal="center" vertical="center" wrapText="1"/>
    </xf>
    <xf numFmtId="0" fontId="62" fillId="52" borderId="48" xfId="0" applyFont="1" applyFill="1" applyBorder="1" applyAlignment="1">
      <alignment horizontal="center" vertical="center" wrapText="1"/>
    </xf>
    <xf numFmtId="0" fontId="60" fillId="0" borderId="52" xfId="0" applyFont="1" applyBorder="1" applyAlignment="1">
      <alignment horizontal="center" vertical="center" wrapText="1"/>
    </xf>
    <xf numFmtId="0" fontId="63" fillId="0" borderId="52" xfId="0" applyFont="1" applyBorder="1" applyAlignment="1">
      <alignment horizontal="center" vertical="center" wrapText="1"/>
    </xf>
    <xf numFmtId="0" fontId="63" fillId="0" borderId="52" xfId="0" applyFont="1" applyBorder="1" applyAlignment="1">
      <alignment horizontal="center" vertical="center"/>
    </xf>
    <xf numFmtId="3" fontId="63" fillId="0" borderId="52" xfId="0" applyNumberFormat="1" applyFont="1" applyBorder="1" applyAlignment="1">
      <alignment horizontal="center" vertical="center"/>
    </xf>
    <xf numFmtId="0" fontId="62" fillId="51" borderId="50" xfId="0" applyFont="1" applyFill="1" applyBorder="1" applyAlignment="1">
      <alignment horizontal="center" vertical="center" wrapText="1"/>
    </xf>
    <xf numFmtId="0" fontId="62" fillId="51" borderId="71" xfId="0" applyFont="1" applyFill="1" applyBorder="1" applyAlignment="1">
      <alignment horizontal="center" vertical="center" wrapText="1"/>
    </xf>
    <xf numFmtId="0" fontId="62" fillId="51" borderId="51" xfId="0" applyFont="1" applyFill="1" applyBorder="1" applyAlignment="1">
      <alignment horizontal="center" vertical="center" wrapText="1"/>
    </xf>
    <xf numFmtId="0" fontId="60" fillId="52" borderId="46" xfId="0" applyFont="1" applyFill="1" applyBorder="1" applyAlignment="1">
      <alignment horizontal="center" vertical="center" wrapText="1" readingOrder="1"/>
    </xf>
    <xf numFmtId="0" fontId="63" fillId="0" borderId="53" xfId="0" applyFont="1" applyBorder="1" applyAlignment="1">
      <alignment horizontal="center" vertical="center"/>
    </xf>
    <xf numFmtId="0" fontId="63" fillId="0" borderId="56" xfId="0" applyFont="1" applyBorder="1" applyAlignment="1">
      <alignment horizontal="center" vertical="center"/>
    </xf>
    <xf numFmtId="0" fontId="63" fillId="0" borderId="57" xfId="0" applyFont="1" applyBorder="1" applyAlignment="1">
      <alignment horizontal="center" vertical="center"/>
    </xf>
    <xf numFmtId="0" fontId="62" fillId="52" borderId="47" xfId="0" applyFont="1" applyFill="1" applyBorder="1" applyAlignment="1">
      <alignment horizontal="center" vertical="center" wrapText="1"/>
    </xf>
    <xf numFmtId="0" fontId="63" fillId="0" borderId="53" xfId="0" applyFont="1" applyBorder="1" applyAlignment="1">
      <alignment horizontal="center" vertical="center" wrapText="1"/>
    </xf>
    <xf numFmtId="0" fontId="63" fillId="0" borderId="56" xfId="0" applyFont="1" applyBorder="1" applyAlignment="1">
      <alignment horizontal="center" vertical="center" wrapText="1"/>
    </xf>
    <xf numFmtId="0" fontId="63" fillId="0" borderId="57" xfId="0" applyFont="1" applyBorder="1" applyAlignment="1">
      <alignment horizontal="center" vertical="center" wrapText="1"/>
    </xf>
    <xf numFmtId="0" fontId="60" fillId="0" borderId="53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3" fontId="63" fillId="0" borderId="52" xfId="0" applyNumberFormat="1" applyFont="1" applyBorder="1" applyAlignment="1">
      <alignment horizontal="center" vertical="center" wrapText="1"/>
    </xf>
    <xf numFmtId="0" fontId="39" fillId="0" borderId="70" xfId="0" applyFont="1" applyBorder="1" applyAlignment="1">
      <alignment horizontal="center" vertical="center"/>
    </xf>
    <xf numFmtId="9" fontId="39" fillId="0" borderId="0" xfId="43" applyFont="1" applyAlignment="1">
      <alignment horizontal="center" vertical="center"/>
    </xf>
    <xf numFmtId="41" fontId="39" fillId="0" borderId="0" xfId="0" applyNumberFormat="1" applyFont="1" applyAlignment="1">
      <alignment horizontal="center" vertical="center"/>
    </xf>
    <xf numFmtId="0" fontId="41" fillId="52" borderId="48" xfId="0" applyFont="1" applyFill="1" applyBorder="1" applyAlignment="1">
      <alignment horizontal="center" vertical="center" wrapText="1"/>
    </xf>
    <xf numFmtId="0" fontId="42" fillId="33" borderId="34" xfId="0" applyFont="1" applyFill="1" applyBorder="1" applyAlignment="1">
      <alignment horizontal="center" vertical="center" wrapText="1"/>
    </xf>
    <xf numFmtId="0" fontId="42" fillId="33" borderId="35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1" fillId="52" borderId="68" xfId="0" applyFont="1" applyFill="1" applyBorder="1" applyAlignment="1">
      <alignment horizontal="center" vertical="center" wrapText="1"/>
    </xf>
    <xf numFmtId="0" fontId="41" fillId="52" borderId="64" xfId="0" applyFont="1" applyFill="1" applyBorder="1" applyAlignment="1">
      <alignment horizontal="center" vertical="center" wrapText="1"/>
    </xf>
    <xf numFmtId="0" fontId="41" fillId="52" borderId="69" xfId="0" applyFont="1" applyFill="1" applyBorder="1" applyAlignment="1">
      <alignment horizontal="center" vertical="center" wrapText="1"/>
    </xf>
    <xf numFmtId="0" fontId="41" fillId="52" borderId="90" xfId="0" applyFont="1" applyFill="1" applyBorder="1" applyAlignment="1">
      <alignment horizontal="center" vertical="center" wrapText="1" readingOrder="1"/>
    </xf>
    <xf numFmtId="0" fontId="41" fillId="52" borderId="91" xfId="0" applyFont="1" applyFill="1" applyBorder="1" applyAlignment="1">
      <alignment horizontal="center" vertical="center" wrapText="1" readingOrder="1"/>
    </xf>
    <xf numFmtId="0" fontId="41" fillId="51" borderId="50" xfId="0" applyFont="1" applyFill="1" applyBorder="1" applyAlignment="1">
      <alignment horizontal="center" vertical="center"/>
    </xf>
    <xf numFmtId="0" fontId="41" fillId="51" borderId="71" xfId="0" applyFont="1" applyFill="1" applyBorder="1" applyAlignment="1">
      <alignment horizontal="center" vertical="center"/>
    </xf>
    <xf numFmtId="0" fontId="41" fillId="51" borderId="51" xfId="0" applyFont="1" applyFill="1" applyBorder="1" applyAlignment="1">
      <alignment horizontal="center" vertical="center"/>
    </xf>
    <xf numFmtId="41" fontId="40" fillId="0" borderId="53" xfId="42" applyFont="1" applyFill="1" applyBorder="1" applyAlignment="1">
      <alignment horizontal="center" vertical="center" wrapText="1"/>
    </xf>
    <xf numFmtId="41" fontId="40" fillId="0" borderId="56" xfId="42" applyFont="1" applyFill="1" applyBorder="1" applyAlignment="1">
      <alignment horizontal="center" vertical="center" wrapText="1"/>
    </xf>
    <xf numFmtId="41" fontId="40" fillId="0" borderId="57" xfId="42" applyFont="1" applyFill="1" applyBorder="1" applyAlignment="1">
      <alignment horizontal="center" vertical="center" wrapText="1"/>
    </xf>
    <xf numFmtId="41" fontId="39" fillId="0" borderId="53" xfId="42" applyFont="1" applyFill="1" applyBorder="1" applyAlignment="1">
      <alignment horizontal="center" vertical="center" wrapText="1"/>
    </xf>
    <xf numFmtId="41" fontId="39" fillId="0" borderId="56" xfId="42" applyFont="1" applyFill="1" applyBorder="1" applyAlignment="1">
      <alignment horizontal="center" vertical="center" wrapText="1"/>
    </xf>
    <xf numFmtId="41" fontId="39" fillId="0" borderId="57" xfId="42" applyFont="1" applyFill="1" applyBorder="1" applyAlignment="1">
      <alignment horizontal="center" vertical="center" wrapText="1"/>
    </xf>
    <xf numFmtId="41" fontId="39" fillId="0" borderId="53" xfId="42" applyFont="1" applyFill="1" applyBorder="1" applyAlignment="1">
      <alignment horizontal="center" vertical="center"/>
    </xf>
    <xf numFmtId="41" fontId="39" fillId="0" borderId="56" xfId="42" applyFont="1" applyFill="1" applyBorder="1" applyAlignment="1">
      <alignment horizontal="center" vertical="center"/>
    </xf>
    <xf numFmtId="41" fontId="39" fillId="0" borderId="57" xfId="42" applyFont="1" applyFill="1" applyBorder="1" applyAlignment="1">
      <alignment horizontal="center" vertical="center"/>
    </xf>
    <xf numFmtId="0" fontId="40" fillId="52" borderId="46" xfId="0" applyFont="1" applyFill="1" applyBorder="1" applyAlignment="1">
      <alignment horizontal="center" vertical="center" wrapText="1" readingOrder="1"/>
    </xf>
    <xf numFmtId="41" fontId="39" fillId="0" borderId="89" xfId="42" applyFont="1" applyFill="1" applyBorder="1" applyAlignment="1">
      <alignment horizontal="center" vertical="center"/>
    </xf>
    <xf numFmtId="0" fontId="40" fillId="51" borderId="50" xfId="0" applyFont="1" applyFill="1" applyBorder="1" applyAlignment="1">
      <alignment horizontal="center" vertical="center"/>
    </xf>
    <xf numFmtId="0" fontId="40" fillId="51" borderId="71" xfId="0" applyFont="1" applyFill="1" applyBorder="1" applyAlignment="1">
      <alignment horizontal="center" vertical="center"/>
    </xf>
    <xf numFmtId="0" fontId="40" fillId="51" borderId="51" xfId="0" applyFont="1" applyFill="1" applyBorder="1" applyAlignment="1">
      <alignment horizontal="center" vertical="center"/>
    </xf>
    <xf numFmtId="0" fontId="40" fillId="52" borderId="48" xfId="0" applyFont="1" applyFill="1" applyBorder="1" applyAlignment="1">
      <alignment horizontal="center" vertical="center" wrapText="1"/>
    </xf>
    <xf numFmtId="0" fontId="39" fillId="0" borderId="54" xfId="0" applyFont="1" applyBorder="1" applyAlignment="1">
      <alignment horizontal="center" vertical="center"/>
    </xf>
    <xf numFmtId="0" fontId="39" fillId="0" borderId="59" xfId="0" applyFont="1" applyBorder="1" applyAlignment="1">
      <alignment horizontal="center" vertical="center"/>
    </xf>
    <xf numFmtId="0" fontId="39" fillId="0" borderId="58" xfId="0" applyFont="1" applyBorder="1" applyAlignment="1">
      <alignment horizontal="center" vertical="center"/>
    </xf>
    <xf numFmtId="0" fontId="40" fillId="0" borderId="89" xfId="0" applyFont="1" applyBorder="1" applyAlignment="1">
      <alignment horizontal="center" vertical="center" wrapText="1"/>
    </xf>
    <xf numFmtId="41" fontId="40" fillId="0" borderId="89" xfId="42" applyFont="1" applyFill="1" applyBorder="1" applyAlignment="1">
      <alignment horizontal="center" vertical="center" wrapText="1"/>
    </xf>
    <xf numFmtId="41" fontId="39" fillId="0" borderId="89" xfId="42" applyFont="1" applyFill="1" applyBorder="1" applyAlignment="1">
      <alignment horizontal="center" vertical="center" wrapText="1"/>
    </xf>
    <xf numFmtId="0" fontId="40" fillId="52" borderId="47" xfId="0" applyFont="1" applyFill="1" applyBorder="1" applyAlignment="1">
      <alignment horizontal="center" vertical="center" wrapText="1"/>
    </xf>
  </cellXfs>
  <cellStyles count="4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7" builtinId="3"/>
    <cellStyle name="Millares [0]" xfId="42" builtinId="6"/>
    <cellStyle name="Millares [0] 2" xfId="45"/>
    <cellStyle name="Neutral" xfId="8" builtinId="28" customBuiltin="1"/>
    <cellStyle name="Normal" xfId="0" builtinId="0"/>
    <cellStyle name="Normal 2" xfId="44"/>
    <cellStyle name="Normal 3" xfId="46"/>
    <cellStyle name="Notas" xfId="15" builtinId="10" customBuiltin="1"/>
    <cellStyle name="Porcentaje" xfId="43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70">
    <dxf>
      <fill>
        <patternFill patternType="solid">
          <bgColor theme="4" tint="0.39997558519241921"/>
        </patternFill>
      </fill>
    </dxf>
    <dxf>
      <fill>
        <patternFill patternType="solid">
          <bgColor theme="4" tint="0.39997558519241921"/>
        </patternFill>
      </fill>
    </dxf>
    <dxf>
      <numFmt numFmtId="164" formatCode="_-* #,##0.00_-;\-* #,##0.00_-;_-* &quot;-&quot;_-;_-@_-"/>
    </dxf>
    <dxf>
      <numFmt numFmtId="164" formatCode="_-* #,##0.00_-;\-* #,##0.00_-;_-* &quot;-&quot;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-* #,##0.00_-;\-* #,##0.00_-;_-* &quot;-&quot;??_-;_-@_-"/>
    </dxf>
    <dxf>
      <fill>
        <patternFill patternType="solid">
          <bgColor rgb="FFFFFF00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4" formatCode="_-* #,##0.00_-;\-* #,##0.00_-;_-* &quot;-&quot;_-;_-@_-"/>
    </dxf>
    <dxf>
      <numFmt numFmtId="164" formatCode="_-* #,##0.00_-;\-* #,##0.00_-;_-* &quot;-&quot;_-;_-@_-"/>
    </dxf>
    <dxf>
      <numFmt numFmtId="164" formatCode="_-* #,##0.00_-;\-* #,##0.00_-;_-* &quot;-&quot;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</font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00B050"/>
        </patternFill>
      </fill>
    </dxf>
    <dxf>
      <numFmt numFmtId="164" formatCode="_-* #,##0.00_-;\-* #,##0.00_-;_-* &quot;-&quot;_-;_-@_-"/>
    </dxf>
    <dxf>
      <numFmt numFmtId="164" formatCode="_-* #,##0.00_-;\-* #,##0.00_-;_-* &quot;-&quot;_-;_-@_-"/>
    </dxf>
    <dxf>
      <numFmt numFmtId="164" formatCode="_-* #,##0.00_-;\-* #,##0.00_-;_-* &quot;-&quot;_-;_-@_-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E1157B"/>
      <color rgb="FFFEC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LMA MILENA RONCANCIO CASTELLANOS" refreshedDate="45364.626249884263" createdVersion="5" refreshedVersion="8" minRefreshableVersion="3" recordCount="131">
  <cacheSource type="worksheet">
    <worksheetSource ref="A1:X132" sheet="depen inversi"/>
  </cacheSource>
  <cacheFields count="24">
    <cacheField name="FECHA GENERACION" numFmtId="49">
      <sharedItems containsBlank="1"/>
    </cacheField>
    <cacheField name="ANO_FISCAL" numFmtId="1">
      <sharedItems containsString="0" containsBlank="1" containsNumber="1" containsInteger="1" minValue="2024" maxValue="2024"/>
    </cacheField>
    <cacheField name="VIGENCIA" numFmtId="49">
      <sharedItems containsBlank="1"/>
    </cacheField>
    <cacheField name="UNIDAD/SUB UNIDAD" numFmtId="49">
      <sharedItems containsBlank="1"/>
    </cacheField>
    <cacheField name="NOMBRE UNIDAD/SUB UNIDAD" numFmtId="49">
      <sharedItems containsBlank="1"/>
    </cacheField>
    <cacheField name="DEP GASTO" numFmtId="49">
      <sharedItems containsBlank="1"/>
    </cacheField>
    <cacheField name="DESCRIPCION DEP GASTO" numFmtId="49">
      <sharedItems containsBlank="1" count="32">
        <s v="DNP GESTION GENERAL"/>
        <s v="DIRECCION GENERAL - DG"/>
        <s v="OFICINA ASESORA JURIDICA - OAJ"/>
        <s v="OFICINA DE TECNOLOGÍAS Y SISTEMAS DE INFORMACIÓN - OTSI"/>
        <s v="OFICINA ASESORA DE COMUNICACIONES - OAC"/>
        <s v="OFICINA DE CONTROL INTERNO - OCI"/>
        <s v="GRUPO CONPES - GCON"/>
        <s v="OFICINA ASESORA DE PLANEACIÓN - OAP"/>
        <s v="SUBDIRECCIÓN GENERAL DE PROSPECTIVA Y DESARROLLO NACIONAL - SGPDN"/>
        <s v="DIRECCIÓN DE AMBIENTE Y DESARROLLO SOSTENIBLE - DADS"/>
        <s v="DIRECCION DE INFRAESTRUCTURA Y ENERGIA SOSTENIBLE - DIES"/>
        <s v="DIRECCION DE DESARROLLO SOCIAL - DDS"/>
        <s v="DIRECCION DE DESARROLLO RURAL SOSTENIBLE - DDRS"/>
        <s v="DIRECCIÓN DE GOBIERNO, DDHH Y PAZ - DGDHP"/>
        <s v="DIRECCIÓN DE JUSTICIA, SEGURIDAD Y DEFENSA - DJSD"/>
        <s v="DIRECCIÓN DE INNOVACIÓN Y DESARROLLO EMPRESARIAL - DIDE"/>
        <s v="DIRECCION DE DESARROLLO URBANO - DDU"/>
        <s v="DIRECCIÓN DE ECONOMÍA NARANJA Y DESARROLLO DIGITAL - DENDD"/>
        <s v="SECRETARIA GENERAL - SG"/>
        <s v="SUBDIRECCIÓN ADMINISTRATIVA Y RELACIONAMIENTO CON LA CIUDADANÍA-SARC"/>
        <s v="SUBDIRECCIÓN DE GESTIÓN DEL TALENTO HUMANO - SGTH"/>
        <s v="SUBDIRECCIÓN DE CONTRATACIÓN - SCT"/>
        <s v="SUBDIRECCIÓN GENERAL DE DESCENTRALIZACIÓN Y DESARROLLO TERRITORIAL - SGDDT"/>
        <s v="DIRECCIÓN DE DESCENTRALIZACIÓN Y FORTALECIMIENTO FISCAL - DDFF"/>
        <s v="DIRECCIÓN DE ORDENAMIENTO Y DESARROLLO TERRITORIAL - DODT"/>
        <s v="DIRECCIÓN DE ESTRATEGIA REGIONAL - DER"/>
        <s v="SUBDIRECCIÓN GENERAL DE INVERSIONES, SEGUIMIENTO Y EVALUACIÓN - SGISE"/>
        <s v="DIRECCIÓN DE PROYECTOS E INFORMACIÓN PARA LA INVERSIÓN - DPII"/>
        <s v="DIRECCIÓN DE PROGRAMACIÓN DE INVERSIONES PÚBLICAS - DPIP"/>
        <s v="DIRECCIÓN DE SEGUIMIENTO Y EVALUACIÓN DE POLÍTICAS PÚBLICAS - DSEPP"/>
        <s v="SUBDIRECCION FINANCIERA - SF"/>
        <m/>
      </sharedItems>
    </cacheField>
    <cacheField name="RUBRO PPTAL" numFmtId="49">
      <sharedItems containsBlank="1"/>
    </cacheField>
    <cacheField name="DESCRIPCION" numFmtId="49">
      <sharedItems containsBlank="1"/>
    </cacheField>
    <cacheField name="FUENTE" numFmtId="49">
      <sharedItems containsBlank="1"/>
    </cacheField>
    <cacheField name="REC" numFmtId="49">
      <sharedItems containsBlank="1"/>
    </cacheField>
    <cacheField name="RECURSO" numFmtId="49">
      <sharedItems containsBlank="1"/>
    </cacheField>
    <cacheField name="SIT" numFmtId="49">
      <sharedItems containsBlank="1"/>
    </cacheField>
    <cacheField name="APR, VIGENTE" numFmtId="164">
      <sharedItems containsString="0" containsBlank="1" containsNumber="1" containsInteger="1" minValue="0" maxValue="742390906700"/>
    </cacheField>
    <cacheField name="CDP" numFmtId="164">
      <sharedItems containsString="0" containsBlank="1" containsNumber="1" minValue="0" maxValue="585440956389"/>
    </cacheField>
    <cacheField name="APR, DISPONIBLE" numFmtId="164">
      <sharedItems containsString="0" containsBlank="1" containsNumber="1" minValue="0" maxValue="156949950311"/>
    </cacheField>
    <cacheField name="COMPROMISO" numFmtId="164">
      <sharedItems containsString="0" containsBlank="1" containsNumber="1" minValue="0" maxValue="585440956389"/>
    </cacheField>
    <cacheField name="OBLIGACION" numFmtId="164">
      <sharedItems containsString="0" containsBlank="1" containsNumber="1" containsInteger="1" minValue="0" maxValue="589633339"/>
    </cacheField>
    <cacheField name="ORDEN PAGO" numFmtId="164">
      <sharedItems containsString="0" containsBlank="1" containsNumber="1" containsInteger="1" minValue="0" maxValue="572033339"/>
    </cacheField>
    <cacheField name="PAGOS" numFmtId="164">
      <sharedItems containsString="0" containsBlank="1" containsNumber="1" containsInteger="1" minValue="0" maxValue="510013330"/>
    </cacheField>
    <cacheField name="MODIFICACIONES PPTALES SIN APROBACION" numFmtId="164">
      <sharedItems containsString="0" containsBlank="1" containsNumber="1" containsInteger="1" minValue="0" maxValue="0"/>
    </cacheField>
    <cacheField name="MODIFICACIONES PPTALES APROBADAS" numFmtId="164">
      <sharedItems containsString="0" containsBlank="1" containsNumber="1" containsInteger="1" minValue="0" maxValue="0"/>
    </cacheField>
    <cacheField name="FORMULA 1" numFmtId="0">
      <sharedItems containsBlank="1" count="24">
        <s v="C-0301-1000-31"/>
        <s v="C-0301-1000-20"/>
        <s v="C-0301-1000-18"/>
        <s v="C-0301-1000-35"/>
        <s v="C-0399-1000-9-"/>
        <s v="C-0399-1000-8-"/>
        <s v="C-0301-1000-33"/>
        <s v="C-0301-1000-39"/>
        <s v="C-0399-1000-7-"/>
        <s v="C-0301-1000-34"/>
        <s v="C-0301-1000-40"/>
        <s v="C-0301-1000-38"/>
        <s v="C-0301-1000-22"/>
        <s v="C-0301-1000-29"/>
        <s v="C-0301-1000-30"/>
        <m/>
        <s v="C-0399-1000-6-" u="1"/>
        <s v="C-0301-1000-28" u="1"/>
        <s v="C-0301-1000-36" u="1"/>
        <s v="C-0399-1000-8" u="1"/>
        <s v="C-0301-1000-23" u="1"/>
        <s v="C-0301-1000-37" u="1"/>
        <s v="C-0301-1003-4-" u="1"/>
        <s v="C-0399-1000-6" u="1"/>
      </sharedItems>
    </cacheField>
    <cacheField name="FORMULA 2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1">
  <r>
    <s v="2024-02-16 09:43:51"/>
    <n v="2024"/>
    <s v="Actual"/>
    <s v="03-01-01"/>
    <s v="DEPARTAMENTO NACIONAL DE PLANEACION - GESTION GENERAL"/>
    <s v="000"/>
    <x v="0"/>
    <s v="C-0301-1000-31-53105B"/>
    <s v="5. CONVERGENCIA REGIONAL / B. ENTIDADES PÚBLICAS TERRITORIALES Y NACIONALES FORTALECIDAS"/>
    <s v="Nación"/>
    <s v="10"/>
    <s v="RECURSOS CORRIENTES"/>
    <s v="CSF"/>
    <n v="30000000000"/>
    <n v="0"/>
    <n v="0"/>
    <n v="0"/>
    <n v="0"/>
    <n v="0"/>
    <n v="0"/>
    <n v="0"/>
    <n v="0"/>
    <x v="0"/>
    <s v="C"/>
  </r>
  <r>
    <s v="2024-02-01 06:27:42"/>
    <n v="2024"/>
    <s v="Actual"/>
    <s v="03-01-01"/>
    <s v="DEPARTAMENTO NACIONAL DE PLANEACION - GESTION GENERAL"/>
    <s v="000"/>
    <x v="0"/>
    <s v="C-0301-1000-20-51102E"/>
    <s v="5. CONVERGENCIA REGIONAL / E. PLANEACIÓN Y GESTIÓN TERRITORIAL INTELIGENTE"/>
    <s v="Nación"/>
    <s v="13"/>
    <s v="RECURSOS CORRIENTES"/>
    <s v="CSF"/>
    <n v="8000000000"/>
    <n v="0"/>
    <n v="8000000000"/>
    <n v="0"/>
    <n v="0"/>
    <n v="0"/>
    <n v="0"/>
    <n v="0"/>
    <n v="0"/>
    <x v="1"/>
    <s v="C"/>
  </r>
  <r>
    <s v="2024-03-13 14:34:12"/>
    <n v="2024"/>
    <s v="Actual"/>
    <s v="03-01-01"/>
    <s v="DEPARTAMENTO NACIONAL DE PLANEACION - GESTION GENERAL"/>
    <s v="000"/>
    <x v="0"/>
    <s v="C-0301-1000-18-51102E"/>
    <s v="5. CONVERGENCIA REGIONAL / E. PLANEACIÓN Y GESTIÓN TERRITORIAL INTELIGENTE"/>
    <s v="Nación"/>
    <s v="10"/>
    <s v="RECURSOS CORRIENTES"/>
    <s v="CSF"/>
    <n v="4100000000"/>
    <n v="4100000000"/>
    <n v="0"/>
    <n v="0"/>
    <n v="0"/>
    <n v="0"/>
    <n v="0"/>
    <n v="0"/>
    <n v="0"/>
    <x v="2"/>
    <s v="C"/>
  </r>
  <r>
    <s v="2024-03-13 14:34:12"/>
    <n v="2024"/>
    <s v="Actual"/>
    <s v="03-01-01-000"/>
    <s v="DNP GESTION GENERAL"/>
    <s v="1101"/>
    <x v="1"/>
    <s v="C-0301-1000-35-53105F-0301014-02"/>
    <s v="ADQUIS. DE BYS - DOCUMENTOS DE ANÁLISIS DE COYUNTURA Y PROSPECTIVA SECTORIAL - MODERNIZACION DE LA VISION DE LARGO PLAZO EN LA PLANEACION INTERSECTORIAL A NIVEL NACIONAL"/>
    <s v="Nación"/>
    <s v="11"/>
    <s v="OTROS RECURSOS DEL TESORO"/>
    <s v="CSF"/>
    <n v="200000000"/>
    <n v="200000000"/>
    <n v="0"/>
    <n v="0"/>
    <n v="0"/>
    <n v="0"/>
    <n v="0"/>
    <n v="0"/>
    <n v="0"/>
    <x v="3"/>
    <s v="C"/>
  </r>
  <r>
    <s v="2024-03-13 14:34:12"/>
    <n v="2024"/>
    <s v="Actual"/>
    <s v="03-01-01-000"/>
    <s v="DNP GESTION GENERAL"/>
    <s v="1103"/>
    <x v="2"/>
    <s v="C-0399-1000-9-53105B-0399054-02"/>
    <s v="ADQUIS. DE BYS - DOCUMENTOS DE LINEAMIENTOS TÉCNICOS - FORTALECIMIENTO INSTITUCIONAL DE LA PLANEACIÓN, GESTIÓN Y EVALUACIÓN DEL DNP A NIVEL NACIONAL"/>
    <s v="Nación"/>
    <s v="11"/>
    <s v="OTROS RECURSOS DEL TESORO"/>
    <s v="CSF"/>
    <n v="494748000"/>
    <n v="417060000"/>
    <n v="77688000"/>
    <n v="65901600"/>
    <n v="7387200"/>
    <n v="7387200"/>
    <n v="7387200"/>
    <n v="0"/>
    <n v="0"/>
    <x v="4"/>
    <s v="C"/>
  </r>
  <r>
    <s v="2024-03-13 14:34:12"/>
    <n v="2024"/>
    <s v="Actual"/>
    <s v="03-01-01-000"/>
    <s v="DNP GESTION GENERAL"/>
    <s v="1104"/>
    <x v="3"/>
    <s v="C-0399-1000-8-53105B-0399064-02"/>
    <s v="ADQUIS. DE BYS - SERVICIOS DE INFORMACION IMPLEMENTADOS - FORTALECIMIENTO DE LAS TIC PARA EL CUMPLIMIENTO DE LOS OBJETIVOS DEL DNP A NIVEL NACIONAL"/>
    <s v="Nación"/>
    <s v="11"/>
    <s v="OTROS RECURSOS DEL TESORO"/>
    <s v="CSF"/>
    <n v="1762311982"/>
    <n v="1762311982"/>
    <n v="0"/>
    <n v="1082080282"/>
    <n v="76288639"/>
    <n v="76288639"/>
    <n v="73432642"/>
    <n v="0"/>
    <n v="0"/>
    <x v="5"/>
    <s v="C"/>
  </r>
  <r>
    <s v="2024-03-13 14:34:12"/>
    <n v="2024"/>
    <s v="Actual"/>
    <s v="03-01-01-000"/>
    <s v="DNP GESTION GENERAL"/>
    <s v="1104"/>
    <x v="3"/>
    <s v="C-0399-1000-8-53105B-0399065-02"/>
    <s v="ADQUIS. DE BYS - DOCUMENTO PARA LA PLANEACION ESTRATEGICA EN TI - FORTALECIMIENTO DE LAS TIC PARA EL CUMPLIMIENTO DE LOS OBJETIVOS DEL DNP A NIVEL NACIONAL"/>
    <s v="Nación"/>
    <s v="11"/>
    <s v="OTROS RECURSOS DEL TESORO"/>
    <s v="CSF"/>
    <n v="500856000"/>
    <n v="500856000"/>
    <n v="0"/>
    <n v="496777997"/>
    <n v="45047994"/>
    <n v="45047994"/>
    <n v="45047994"/>
    <n v="0"/>
    <n v="0"/>
    <x v="5"/>
    <s v="C"/>
  </r>
  <r>
    <s v="2024-03-13 14:34:12"/>
    <n v="2024"/>
    <s v="Actual"/>
    <s v="03-01-01-000"/>
    <s v="DNP GESTION GENERAL"/>
    <s v="1104"/>
    <x v="3"/>
    <s v="C-0399-1000-8-53105B-0399066-02"/>
    <s v="ADQUIS. DE BYS - SERVICIOS TECNOLOGICOS - FORTALECIMIENTO DE LAS TIC PARA EL CUMPLIMIENTO DE LOS OBJETIVOS DEL DNP A NIVEL NACIONAL"/>
    <s v="Nación"/>
    <s v="11"/>
    <s v="OTROS RECURSOS DEL TESORO"/>
    <s v="CSF"/>
    <n v="50736832018"/>
    <n v="10344113260.280001"/>
    <n v="40392718757.720001"/>
    <n v="4602713729.2799997"/>
    <n v="492429235"/>
    <n v="489509235"/>
    <n v="213757747"/>
    <n v="0"/>
    <n v="0"/>
    <x v="5"/>
    <s v="C"/>
  </r>
  <r>
    <s v="2024-03-13 14:34:12"/>
    <n v="2024"/>
    <s v="Actual"/>
    <s v="03-01-01-000"/>
    <s v="DNP GESTION GENERAL"/>
    <s v="1105"/>
    <x v="4"/>
    <s v="C-0399-1000-9-53105B-0399054-02"/>
    <s v="ADQUIS. DE BYS - DOCUMENTOS DE LINEAMIENTOS TÉCNICOS - FORTALECIMIENTO INSTITUCIONAL DE LA PLANEACIÓN, GESTIÓN Y EVALUACIÓN DEL DNP A NIVEL NACIONAL"/>
    <s v="Nación"/>
    <s v="11"/>
    <s v="OTROS RECURSOS DEL TESORO"/>
    <s v="CSF"/>
    <n v="1096859325"/>
    <n v="694662650"/>
    <n v="402196675"/>
    <n v="363933315"/>
    <n v="34453325"/>
    <n v="24453325"/>
    <n v="24453325"/>
    <n v="0"/>
    <n v="0"/>
    <x v="4"/>
    <s v="C"/>
  </r>
  <r>
    <s v="2024-03-13 14:34:12"/>
    <n v="2024"/>
    <s v="Actual"/>
    <s v="03-01-01-000"/>
    <s v="DNP GESTION GENERAL"/>
    <s v="1106"/>
    <x v="5"/>
    <s v="C-0399-1000-9-53105B-0399073-02"/>
    <s v="ADQUIS. DE BYS - SERVICIO DE ACTUALIZACIÓN DEL SISTEMA DE GESTIÓN - FORTALECIMIENTO INSTITUCIONAL DE LA PLANEACIÓN, GESTIÓN Y EVALUACIÓN DEL DNP A NIVEL NACIONAL"/>
    <s v="Nación"/>
    <s v="11"/>
    <s v="OTROS RECURSOS DEL TESORO"/>
    <s v="CSF"/>
    <n v="504576000"/>
    <n v="504576000"/>
    <n v="0"/>
    <n v="504576000"/>
    <n v="53728000"/>
    <n v="53728000"/>
    <n v="44968000"/>
    <n v="0"/>
    <n v="0"/>
    <x v="4"/>
    <s v="C"/>
  </r>
  <r>
    <s v="2024-03-13 14:34:12"/>
    <n v="2024"/>
    <s v="Actual"/>
    <s v="03-01-01-000"/>
    <s v="DNP GESTION GENERAL"/>
    <s v="1109"/>
    <x v="6"/>
    <s v="C-0301-1000-35-53105F-0301014-02"/>
    <s v="ADQUIS. DE BYS - DOCUMENTOS DE ANÁLISIS DE COYUNTURA Y PROSPECTIVA SECTORIAL - MODERNIZACION DE LA VISION DE LARGO PLAZO EN LA PLANEACION INTERSECTORIAL A NIVEL NACIONAL"/>
    <s v="Nación"/>
    <s v="11"/>
    <s v="OTROS RECURSOS DEL TESORO"/>
    <s v="CSF"/>
    <n v="696023500"/>
    <n v="0"/>
    <n v="696023500"/>
    <m/>
    <n v="0"/>
    <n v="0"/>
    <n v="0"/>
    <n v="0"/>
    <n v="0"/>
    <x v="3"/>
    <s v="C"/>
  </r>
  <r>
    <s v="2024-03-13 14:34:12"/>
    <n v="2024"/>
    <s v="Actual"/>
    <s v="03-01-01-000"/>
    <s v="DNP GESTION GENERAL"/>
    <s v="1109"/>
    <x v="6"/>
    <s v="C-0301-1000-35-53105F-0301025-02"/>
    <s v="ADQUIS. DE BYS - SERVICIO DE INFORMACIÓN ACTUALIZADO - MODERNIZACION DE LA VISION DE LARGO PLAZO EN LA PLANEACION INTERSECTORIAL A NIVEL NACIONAL"/>
    <s v="Nación"/>
    <s v="11"/>
    <s v="OTROS RECURSOS DEL TESORO"/>
    <s v="CSF"/>
    <n v="1184557500"/>
    <n v="905675400"/>
    <n v="278882100"/>
    <n v="383214400"/>
    <n v="40900900"/>
    <n v="40900900"/>
    <n v="19783900"/>
    <n v="0"/>
    <n v="0"/>
    <x v="3"/>
    <s v="C"/>
  </r>
  <r>
    <s v="2024-03-13 14:34:12"/>
    <n v="2024"/>
    <s v="Actual"/>
    <s v="03-01-01-000"/>
    <s v="DNP GESTION GENERAL"/>
    <s v="1109"/>
    <x v="6"/>
    <s v="C-0301-1000-35-53105F-0301041-02"/>
    <s v="ADQUIS. DE BYS - SERVICIO DE COORDINACIÓN Y ARTICULACIÓN EN LA FORMULACIÓN DE INSTRUMENTOS DE PLANEACIÓN - MODERNIZACION DE LA VISION DE LARGO PLAZO EN LA PLANEACION INTERSECTORIAL A NIVEL NACIONAL"/>
    <s v="Nación"/>
    <s v="11"/>
    <s v="OTROS RECURSOS DEL TESORO"/>
    <s v="CSF"/>
    <n v="1843800000"/>
    <n v="1725766208"/>
    <n v="118033792"/>
    <n v="1288348808"/>
    <n v="149322800"/>
    <n v="149322800"/>
    <n v="136887400"/>
    <n v="0"/>
    <n v="0"/>
    <x v="3"/>
    <s v="C"/>
  </r>
  <r>
    <s v="2024-03-13 14:34:12"/>
    <n v="2024"/>
    <s v="Actual"/>
    <s v="03-01-01-000"/>
    <s v="DNP GESTION GENERAL"/>
    <s v="1110"/>
    <x v="7"/>
    <s v="C-0399-1000-9-53105B-0399073-02"/>
    <s v="ADQUIS. DE BYS - SERVICIO DE ACTUALIZACIÓN DEL SISTEMA DE GESTIÓN - FORTALECIMIENTO INSTITUCIONAL DE LA PLANEACIÓN, GESTIÓN Y EVALUACIÓN DEL DNP A NIVEL NACIONAL"/>
    <s v="Nación"/>
    <s v="11"/>
    <s v="OTROS RECURSOS DEL TESORO"/>
    <s v="CSF"/>
    <n v="2454131000"/>
    <n v="1832041334"/>
    <n v="622089666"/>
    <n v="1643297200"/>
    <n v="126897199"/>
    <n v="126897199"/>
    <n v="124737199"/>
    <n v="0"/>
    <n v="0"/>
    <x v="4"/>
    <s v="C"/>
  </r>
  <r>
    <s v="2024-03-13 14:34:12"/>
    <n v="2024"/>
    <s v="Actual"/>
    <s v="03-01-01-000"/>
    <s v="DNP GESTION GENERAL"/>
    <s v="1201"/>
    <x v="8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822016935"/>
    <n v="822016935"/>
    <n v="0"/>
    <n v="691371933"/>
    <n v="66259337"/>
    <n v="66259337"/>
    <n v="51968337"/>
    <n v="0"/>
    <n v="0"/>
    <x v="6"/>
    <s v="C"/>
  </r>
  <r>
    <s v="2024-03-13 14:34:12"/>
    <n v="2024"/>
    <s v="Actual"/>
    <s v="03-01-01-000"/>
    <s v="DNP GESTION GENERAL"/>
    <s v="1201"/>
    <x v="8"/>
    <s v="C-0301-1000-33-53105F-0301035-02"/>
    <s v="ADQUIS. DE BYS - SERVICIO DE SEGUIMIENTO A INSTRUMENTOS DE PLANEACIÓN - FORTALECIMIENTO DEL CICLO DE LAS POLITICAS PUBLICAS SECTORIALES E INTERSECTORIALES PARA EL DESARROLLO NACIONAL"/>
    <s v="Nación"/>
    <s v="11"/>
    <s v="OTROS RECURSOS DEL TESORO"/>
    <s v="CSF"/>
    <n v="3197896561"/>
    <n v="2695714571"/>
    <n v="502181990"/>
    <n v="1654217891"/>
    <n v="227937694"/>
    <n v="208494472"/>
    <n v="203709039"/>
    <n v="0"/>
    <n v="0"/>
    <x v="6"/>
    <s v="C"/>
  </r>
  <r>
    <s v="2024-03-13 14:34:12"/>
    <n v="2024"/>
    <s v="Actual"/>
    <s v="03-01-01-000"/>
    <s v="DNP GESTION GENERAL"/>
    <s v="1203"/>
    <x v="9"/>
    <s v="C-0301-1000-33-53105F-0301003-02"/>
    <s v="ADQUIS. DE BYS - DOCUMENTOS DE LINEAMIENTOS TÉCNICOS - FORTALECIMIENTO DEL CICLO DE LAS POLITICAS PUBLICAS SECTORIALES E INTERSECTORIALES PARA EL DESARROLLO NACIONAL"/>
    <s v="Nación"/>
    <s v="11"/>
    <s v="OTROS RECURSOS DEL TESORO"/>
    <s v="CSF"/>
    <n v="4172477058"/>
    <n v="4094031855"/>
    <n v="78445203"/>
    <n v="3752607342"/>
    <n v="301986857"/>
    <n v="289122557"/>
    <n v="258194557"/>
    <n v="0"/>
    <n v="0"/>
    <x v="6"/>
    <s v="C"/>
  </r>
  <r>
    <s v="2024-03-13 14:34:12"/>
    <n v="2024"/>
    <s v="Actual"/>
    <s v="03-01-01-000"/>
    <s v="DNP GESTION GENERAL"/>
    <s v="1203"/>
    <x v="9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544857600"/>
    <n v="539441062"/>
    <n v="5416538"/>
    <n v="534041062"/>
    <n v="30137330"/>
    <n v="30137330"/>
    <n v="30137330"/>
    <n v="0"/>
    <n v="0"/>
    <x v="6"/>
    <s v="C"/>
  </r>
  <r>
    <s v="2024-03-13 14:34:12"/>
    <n v="2024"/>
    <s v="Actual"/>
    <s v="03-01-01-000"/>
    <s v="DNP GESTION GENERAL"/>
    <s v="1208"/>
    <x v="10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7282857801"/>
    <n v="3507513367"/>
    <n v="3775344434"/>
    <n v="2238663592"/>
    <n v="145500857"/>
    <n v="145500857"/>
    <n v="129700857"/>
    <n v="0"/>
    <n v="0"/>
    <x v="6"/>
    <s v="C"/>
  </r>
  <r>
    <s v="2024-03-13 14:34:12"/>
    <n v="2024"/>
    <s v="Actual"/>
    <s v="03-01-01-000"/>
    <s v="DNP GESTION GENERAL"/>
    <s v="1209"/>
    <x v="11"/>
    <s v="C-0301-1000-35-53105F-0301014-02"/>
    <s v="ADQUIS. DE BYS - DOCUMENTOS DE ANÁLISIS DE COYUNTURA Y PROSPECTIVA SECTORIAL - MODERNIZACION DE LA VISION DE LARGO PLAZO EN LA PLANEACION INTERSECTORIAL A NIVEL NACIONAL"/>
    <s v="Nación"/>
    <s v="11"/>
    <s v="OTROS RECURSOS DEL TESORO"/>
    <s v="CSF"/>
    <n v="223619000"/>
    <n v="223619000"/>
    <n v="0"/>
    <n v="214132133"/>
    <n v="0"/>
    <n v="0"/>
    <n v="0"/>
    <n v="0"/>
    <n v="0"/>
    <x v="3"/>
    <s v="C"/>
  </r>
  <r>
    <s v="2024-03-13 14:34:12"/>
    <n v="2024"/>
    <s v="Actual"/>
    <s v="03-01-01-000"/>
    <s v="DNP GESTION GENERAL"/>
    <s v="1209"/>
    <x v="11"/>
    <s v="C-0301-1000-39-53105F-0301003-02"/>
    <s v="ADQUIS. DE BYS - DOCUMENTOS DE LINEAMIENTOS TÉCNICOS - 5. CONVERGENCIA REGIONAL / F. EFICIENCIA INSTITUCIONAL PARA EL CUMPLIMIENTO DE LOS ACUERDOS REALIZADOS CON LAS COMUNIDADES"/>
    <s v="Nación"/>
    <s v="11"/>
    <s v="OTROS RECURSOS DEL TESORO"/>
    <s v="CSF"/>
    <n v="1338490284"/>
    <n v="1165440883"/>
    <n v="173049401"/>
    <n v="431543133"/>
    <n v="27695538"/>
    <n v="27695538"/>
    <n v="27695538"/>
    <n v="0"/>
    <n v="0"/>
    <x v="7"/>
    <s v="C"/>
  </r>
  <r>
    <s v="2024-03-13 14:34:12"/>
    <n v="2024"/>
    <s v="Actual"/>
    <s v="03-01-01-000"/>
    <s v="DNP GESTION GENERAL"/>
    <s v="1209"/>
    <x v="11"/>
    <s v="C-0301-1000-39-53105F-0301024-02"/>
    <s v="ADQUIS. DE BYS - SERVICIO DE INFORMACIÓN IMPLEMENTADO - 5. CONVERGENCIA REGIONAL / F. EFICIENCIA INSTITUCIONAL PARA EL CUMPLIMIENTO DE LOS ACUERDOS REALIZADOS CON LAS COMUNIDADES"/>
    <s v="Nación"/>
    <s v="11"/>
    <s v="OTROS RECURSOS DEL TESORO"/>
    <s v="CSF"/>
    <n v="1750421612"/>
    <n v="1004310300"/>
    <n v="746111312"/>
    <n v="473132100"/>
    <n v="32900700"/>
    <n v="32900700"/>
    <n v="27419700"/>
    <n v="0"/>
    <n v="0"/>
    <x v="7"/>
    <s v="C"/>
  </r>
  <r>
    <s v="2024-03-13 14:34:12"/>
    <n v="2024"/>
    <s v="Actual"/>
    <s v="03-01-01-000"/>
    <s v="DNP GESTION GENERAL"/>
    <s v="1209"/>
    <x v="11"/>
    <s v="C-0301-1000-39-53105F-0301027-02"/>
    <s v="ADQUIS. DE BYS - SERVICIO DE ASISTENCIA TÉCNICA - 5. CONVERGENCIA REGIONAL / F. EFICIENCIA INSTITUCIONAL PARA EL CUMPLIMIENTO DE LOS ACUERDOS REALIZADOS CON LAS COMUNIDADES"/>
    <s v="Nación"/>
    <s v="11"/>
    <s v="OTROS RECURSOS DEL TESORO"/>
    <s v="CSF"/>
    <n v="1446444686"/>
    <n v="1283769849"/>
    <n v="162674837"/>
    <n v="1164426745"/>
    <n v="107723662"/>
    <n v="107723662"/>
    <n v="107723662"/>
    <n v="0"/>
    <n v="0"/>
    <x v="7"/>
    <s v="C"/>
  </r>
  <r>
    <s v="2024-03-13 14:34:12"/>
    <n v="2024"/>
    <s v="Actual"/>
    <s v="03-01-01-000"/>
    <s v="DNP GESTION GENERAL"/>
    <s v="1209"/>
    <x v="11"/>
    <s v="C-0301-1000-39-53105F-0301035-02"/>
    <s v="ADQUIS. DE BYS - SERVICIO DE SEGUIMIENTO A INSTRUMENTOS DE PLANEACIÓN - 5. CONVERGENCIA REGIONAL / F. EFICIENCIA INSTITUCIONAL PARA EL CUMPLIMIENTO DE LOS ACUERDOS REALIZADOS CON LAS COMUNIDADES"/>
    <s v="Nación"/>
    <s v="11"/>
    <s v="OTROS RECURSOS DEL TESORO"/>
    <s v="CSF"/>
    <n v="842277985"/>
    <n v="353915880"/>
    <n v="488362105"/>
    <n v="218582600"/>
    <n v="19390202"/>
    <n v="19390202"/>
    <n v="11390202"/>
    <n v="0"/>
    <n v="0"/>
    <x v="7"/>
    <s v="C"/>
  </r>
  <r>
    <s v="2024-03-13 14:34:12"/>
    <n v="2024"/>
    <s v="Actual"/>
    <s v="03-01-01-000"/>
    <s v="DNP GESTION GENERAL"/>
    <s v="1209"/>
    <x v="11"/>
    <s v="C-0301-1000-39-53105F-0301040-02"/>
    <s v="ADQUIS. DE BYS - SERVICIO DE ANALÍTICA Y USO DE LA INFORMACIÓN - 5. CONVERGENCIA REGIONAL / F. EFICIENCIA INSTITUCIONAL PARA EL CUMPLIMIENTO DE LOS ACUERDOS REALIZADOS CON LAS COMUNIDADES"/>
    <s v="Nación"/>
    <s v="11"/>
    <s v="OTROS RECURSOS DEL TESORO"/>
    <s v="CSF"/>
    <n v="1320121433"/>
    <n v="725520550"/>
    <n v="594600883"/>
    <n v="314133700"/>
    <n v="6960000"/>
    <n v="6960000"/>
    <n v="6960000"/>
    <n v="0"/>
    <n v="0"/>
    <x v="7"/>
    <s v="C"/>
  </r>
  <r>
    <s v="2024-03-13 14:34:12"/>
    <n v="2024"/>
    <s v="Actual"/>
    <s v="03-01-01-000"/>
    <s v="DNP GESTION GENERAL"/>
    <s v="1209"/>
    <x v="11"/>
    <s v="C-0301-1000-39-53105F-0301041-02"/>
    <s v="ADQUIS. DE BYS - SERVICIO DE COORDINACIÓN Y ARTICULACIÓN EN LA FORMULACIÓN DE INSTRUMENTOS DE PLANEACIÓN - 5. CONVERGENCIA REGIONAL / F. EFICIENCIA INSTITUCIONAL PARA EL CUMPLIMIENTO DE LOS ACUERDOS REALIZADOS CON LAS COMUNIDADES"/>
    <s v="Nación"/>
    <s v="11"/>
    <s v="OTROS RECURSOS DEL TESORO"/>
    <s v="CSF"/>
    <n v="342244000"/>
    <n v="0"/>
    <n v="342244000"/>
    <n v="0"/>
    <n v="0"/>
    <n v="0"/>
    <n v="0"/>
    <n v="0"/>
    <n v="0"/>
    <x v="7"/>
    <s v="C"/>
  </r>
  <r>
    <s v="2024-03-13 14:34:12"/>
    <n v="2024"/>
    <s v="Actual"/>
    <s v="03-01-01-000"/>
    <s v="DNP GESTION GENERAL"/>
    <s v="1210"/>
    <x v="12"/>
    <s v="C-0301-1000-33-53105F-0301003-02"/>
    <s v="ADQUIS. DE BYS - DOCUMENTOS DE LINEAMIENTOS TÉCNICOS - FORTALECIMIENTO DEL CICLO DE LAS POLITICAS PUBLICAS SECTORIALES E INTERSECTORIALES PARA EL DESARROLLO NACIONAL"/>
    <s v="Nación"/>
    <s v="11"/>
    <s v="OTROS RECURSOS DEL TESORO"/>
    <s v="CSF"/>
    <n v="823829305"/>
    <n v="823147164"/>
    <n v="682141"/>
    <n v="818897159"/>
    <n v="85905917"/>
    <n v="85905917"/>
    <n v="85905917"/>
    <n v="0"/>
    <n v="0"/>
    <x v="6"/>
    <s v="C"/>
  </r>
  <r>
    <s v="2024-03-13 14:34:12"/>
    <n v="2024"/>
    <s v="Actual"/>
    <s v="03-01-01-000"/>
    <s v="DNP GESTION GENERAL"/>
    <s v="1210"/>
    <x v="12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1275820696"/>
    <n v="1054569852"/>
    <n v="221250844"/>
    <n v="928698786"/>
    <n v="78980225"/>
    <n v="55231873"/>
    <n v="55231873"/>
    <n v="0"/>
    <n v="0"/>
    <x v="6"/>
    <s v="C"/>
  </r>
  <r>
    <s v="2024-03-13 14:34:12"/>
    <n v="2024"/>
    <s v="Actual"/>
    <s v="03-01-01-000"/>
    <s v="DNP GESTION GENERAL"/>
    <s v="1210"/>
    <x v="12"/>
    <s v="C-0301-1000-33-53105F-0301035-02"/>
    <s v="ADQUIS. DE BYS - SERVICIO DE SEGUIMIENTO A INSTRUMENTOS DE PLANEACIÓN - FORTALECIMIENTO DEL CICLO DE LAS POLITICAS PUBLICAS SECTORIALES E INTERSECTORIALES PARA EL DESARROLLO NACIONAL"/>
    <s v="Nación"/>
    <s v="11"/>
    <s v="OTROS RECURSOS DEL TESORO"/>
    <s v="CSF"/>
    <n v="94349999"/>
    <n v="94349999"/>
    <n v="0"/>
    <n v="92933324"/>
    <n v="4816661"/>
    <n v="4816661"/>
    <n v="4816661"/>
    <n v="0"/>
    <n v="0"/>
    <x v="6"/>
    <s v="C"/>
  </r>
  <r>
    <s v="2024-03-13 14:34:12"/>
    <n v="2024"/>
    <s v="Actual"/>
    <s v="03-01-01-000"/>
    <s v="DNP GESTION GENERAL"/>
    <s v="1211"/>
    <x v="13"/>
    <s v="C-0301-1000-33-53105F-0301003-02"/>
    <s v="ADQUIS. DE BYS - DOCUMENTOS DE LINEAMIENTOS TÉCNICOS - FORTALECIMIENTO DEL CICLO DE LAS POLITICAS PUBLICAS SECTORIALES E INTERSECTORIALES PARA EL DESARROLLO NACIONAL"/>
    <s v="Nación"/>
    <s v="11"/>
    <s v="OTROS RECURSOS DEL TESORO"/>
    <s v="CSF"/>
    <n v="11390751120"/>
    <n v="9242851601"/>
    <n v="2147899519"/>
    <n v="7573423672"/>
    <n v="552895577"/>
    <n v="505505577"/>
    <n v="444497827"/>
    <n v="0"/>
    <n v="0"/>
    <x v="6"/>
    <s v="C"/>
  </r>
  <r>
    <s v="2024-03-13 14:34:12"/>
    <n v="2024"/>
    <s v="Actual"/>
    <s v="03-01-01-000"/>
    <s v="DNP GESTION GENERAL"/>
    <s v="1211"/>
    <x v="13"/>
    <s v="C-0301-1000-33-53105F-0301035-02"/>
    <s v="ADQUIS. DE BYS - SERVICIO DE SEGUIMIENTO A INSTRUMENTOS DE PLANEACIÓN - FORTALECIMIENTO DEL CICLO DE LAS POLITICAS PUBLICAS SECTORIALES E INTERSECTORIALES PARA EL DESARROLLO NACIONAL"/>
    <s v="Nación"/>
    <s v="11"/>
    <s v="OTROS RECURSOS DEL TESORO"/>
    <s v="CSF"/>
    <n v="5334500000"/>
    <n v="509250000"/>
    <n v="4825250000"/>
    <n v="504784000"/>
    <n v="62524000"/>
    <n v="62524000"/>
    <n v="60900000"/>
    <n v="0"/>
    <n v="0"/>
    <x v="6"/>
    <s v="C"/>
  </r>
  <r>
    <s v="2024-03-13 14:34:12"/>
    <n v="2024"/>
    <s v="Actual"/>
    <s v="03-01-01-000"/>
    <s v="DNP GESTION GENERAL"/>
    <s v="1212"/>
    <x v="14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3412208646"/>
    <n v="2523708646"/>
    <n v="888500000"/>
    <n v="2479575457"/>
    <n v="243071689"/>
    <n v="243071689"/>
    <n v="200220222"/>
    <n v="0"/>
    <n v="0"/>
    <x v="6"/>
    <s v="C"/>
  </r>
  <r>
    <s v="2024-03-13 14:34:12"/>
    <n v="2024"/>
    <s v="Actual"/>
    <s v="03-01-01-000"/>
    <s v="DNP GESTION GENERAL"/>
    <s v="1212"/>
    <x v="14"/>
    <s v="C-0301-1000-35-53105F-0301014-02"/>
    <s v="ADQUIS. DE BYS - DOCUMENTOS DE ANÁLISIS DE COYUNTURA Y PROSPECTIVA SECTORIAL - MODERNIZACION DE LA VISION DE LARGO PLAZO EN LA PLANEACION INTERSECTORIAL A NIVEL NACIONAL"/>
    <s v="Nación"/>
    <s v="11"/>
    <s v="OTROS RECURSOS DEL TESORO"/>
    <s v="CSF"/>
    <n v="200000000"/>
    <n v="0"/>
    <n v="200000000"/>
    <m/>
    <n v="0"/>
    <n v="0"/>
    <n v="0"/>
    <n v="0"/>
    <n v="0"/>
    <x v="3"/>
    <s v="C"/>
  </r>
  <r>
    <s v="2024-03-13 14:34:12"/>
    <n v="2024"/>
    <s v="Actual"/>
    <s v="03-01-01-000"/>
    <s v="DNP GESTION GENERAL"/>
    <s v="1213"/>
    <x v="15"/>
    <s v="C-0301-1000-33-53105F-0301003-02"/>
    <s v="ADQUIS. DE BYS - DOCUMENTOS DE LINEAMIENTOS TÉCNICOS - FORTALECIMIENTO DEL CICLO DE LAS POLITICAS PUBLICAS SECTORIALES E INTERSECTORIALES PARA EL DESARROLLO NACIONAL"/>
    <s v="Nación"/>
    <s v="11"/>
    <s v="OTROS RECURSOS DEL TESORO"/>
    <s v="CSF"/>
    <n v="335870000"/>
    <n v="327593334"/>
    <n v="8276666"/>
    <n v="327593334"/>
    <n v="27943333"/>
    <n v="27943333"/>
    <n v="27943333"/>
    <n v="0"/>
    <n v="0"/>
    <x v="6"/>
    <s v="C"/>
  </r>
  <r>
    <s v="2024-03-13 14:34:12"/>
    <n v="2024"/>
    <s v="Actual"/>
    <s v="03-01-01-000"/>
    <s v="DNP GESTION GENERAL"/>
    <s v="1213"/>
    <x v="15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3865650000"/>
    <n v="3770923342"/>
    <n v="94726658"/>
    <n v="2195523342"/>
    <n v="165183322"/>
    <n v="163783322"/>
    <n v="152783322"/>
    <n v="0"/>
    <n v="0"/>
    <x v="6"/>
    <s v="C"/>
  </r>
  <r>
    <s v="2024-03-13 14:34:12"/>
    <n v="2024"/>
    <s v="Actual"/>
    <s v="03-01-01-000"/>
    <s v="DNP GESTION GENERAL"/>
    <s v="1214"/>
    <x v="16"/>
    <s v="C-0301-1000-33-53105F-0301003-02"/>
    <s v="ADQUIS. DE BYS - DOCUMENTOS DE LINEAMIENTOS TÉCNICOS - FORTALECIMIENTO DEL CICLO DE LAS POLITICAS PUBLICAS SECTORIALES E INTERSECTORIALES PARA EL DESARROLLO NACIONAL"/>
    <s v="Nación"/>
    <s v="11"/>
    <s v="OTROS RECURSOS DEL TESORO"/>
    <s v="CSF"/>
    <n v="2663186208"/>
    <n v="2555644220"/>
    <n v="107541988"/>
    <n v="1620471885"/>
    <n v="106542522"/>
    <n v="106542522"/>
    <n v="106542522"/>
    <n v="0"/>
    <n v="0"/>
    <x v="6"/>
    <s v="C"/>
  </r>
  <r>
    <s v="2024-03-13 14:34:12"/>
    <n v="2024"/>
    <s v="Actual"/>
    <s v="03-01-01-000"/>
    <s v="DNP GESTION GENERAL"/>
    <s v="1214"/>
    <x v="16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2066372459"/>
    <n v="1680396472"/>
    <n v="385975987"/>
    <n v="1660775126"/>
    <n v="99470495"/>
    <n v="96070495"/>
    <n v="90207295"/>
    <n v="0"/>
    <n v="0"/>
    <x v="6"/>
    <s v="C"/>
  </r>
  <r>
    <s v="2024-03-13 14:34:12"/>
    <n v="2024"/>
    <s v="Actual"/>
    <s v="03-01-01-000"/>
    <s v="DNP GESTION GENERAL"/>
    <s v="1220"/>
    <x v="17"/>
    <s v="C-0301-1000-33-53105F-0301033-02"/>
    <s v="ADQUIS. DE BYS - DOCUMENTOS DE ESTUDIOS TÉCNICOS - FORTALECIMIENTO DEL CICLO DE LAS POLITICAS PUBLICAS SECTORIALES E INTERSECTORIALES PARA EL DESARROLLO NACIONAL"/>
    <s v="Nación"/>
    <s v="11"/>
    <s v="OTROS RECURSOS DEL TESORO"/>
    <s v="CSF"/>
    <n v="4344855612"/>
    <n v="3463506189"/>
    <n v="881349423"/>
    <n v="3207358413"/>
    <n v="267442018"/>
    <n v="248029198"/>
    <n v="218158693"/>
    <n v="0"/>
    <n v="0"/>
    <x v="6"/>
    <s v="C"/>
  </r>
  <r>
    <s v="2024-03-13 14:34:12"/>
    <n v="2024"/>
    <s v="Actual"/>
    <s v="03-01-01-000"/>
    <s v="DNP GESTION GENERAL"/>
    <s v="1301"/>
    <x v="18"/>
    <s v="C-0399-1000-9-53105B-0399073-02"/>
    <s v="ADQUIS. DE BYS - SERVICIO DE ACTUALIZACIÓN DEL SISTEMA DE GESTIÓN - FORTALECIMIENTO INSTITUCIONAL DE LA PLANEACIÓN, GESTIÓN Y EVALUACIÓN DEL DNP A NIVEL NACIONAL"/>
    <s v="Nación"/>
    <s v="11"/>
    <s v="OTROS RECURSOS DEL TESORO"/>
    <s v="CSF"/>
    <n v="2302633475"/>
    <n v="256676000"/>
    <n v="2045957475"/>
    <n v="235075000"/>
    <n v="25008333"/>
    <n v="25008333"/>
    <n v="25008333"/>
    <n v="0"/>
    <n v="0"/>
    <x v="4"/>
    <s v="C"/>
  </r>
  <r>
    <s v="2024-03-13 14:34:12"/>
    <n v="2024"/>
    <s v="Actual"/>
    <s v="03-01-01-000"/>
    <s v="DNP GESTION GENERAL"/>
    <s v="1304"/>
    <x v="19"/>
    <s v="C-0399-1000-7-53105B-0399011-02"/>
    <s v="ADQUIS. DE BYS - SEDES ADECUADAS - ADQUISICIÓN Y ADECUACIÓN DE ESPACIOS FÍSICOS DEL DEPARTAMENTO NACIONAL DE PLANEACIÓN NACIONAL"/>
    <s v="Nación"/>
    <s v="11"/>
    <s v="OTROS RECURSOS DEL TESORO"/>
    <s v="CSF"/>
    <n v="262696350"/>
    <n v="262696350"/>
    <n v="0"/>
    <n v="261686950"/>
    <n v="34319600"/>
    <n v="34319600"/>
    <n v="34319600"/>
    <n v="0"/>
    <n v="0"/>
    <x v="8"/>
    <s v="C"/>
  </r>
  <r>
    <s v="2024-03-13 14:34:12"/>
    <n v="2024"/>
    <s v="Actual"/>
    <s v="03-01-01-000"/>
    <s v="DNP GESTION GENERAL"/>
    <s v="1304"/>
    <x v="19"/>
    <s v="C-0399-1000-7-53105B-0399015-02"/>
    <s v="ADQUIS. DE BYS - SEDES ADQUIRIDAS - ADQUISICIÓN Y ADECUACIÓN DE ESPACIOS FÍSICOS DEL DEPARTAMENTO NACIONAL DE PLANEACIÓN NACIONAL"/>
    <s v="Nación"/>
    <s v="11"/>
    <s v="OTROS RECURSOS DEL TESORO"/>
    <s v="CSF"/>
    <n v="13248303650"/>
    <n v="0"/>
    <n v="13248303650"/>
    <m/>
    <n v="0"/>
    <n v="0"/>
    <n v="0"/>
    <n v="0"/>
    <n v="0"/>
    <x v="8"/>
    <s v="C"/>
  </r>
  <r>
    <s v="2024-03-13 14:34:12"/>
    <n v="2024"/>
    <s v="Actual"/>
    <s v="03-01-01-000"/>
    <s v="DNP GESTION GENERAL"/>
    <s v="1304"/>
    <x v="19"/>
    <s v="C-0399-1000-9-53105B-0399054-02"/>
    <s v="ADQUIS. DE BYS - DOCUMENTOS DE LINEAMIENTOS TÉCNICOS - FORTALECIMIENTO INSTITUCIONAL DE LA PLANEACIÓN, GESTIÓN Y EVALUACIÓN DEL DNP A NIVEL NACIONAL"/>
    <s v="Nación"/>
    <s v="11"/>
    <s v="OTROS RECURSOS DEL TESORO"/>
    <s v="CSF"/>
    <n v="716865772"/>
    <n v="151493064"/>
    <n v="565372708"/>
    <n v="148860400"/>
    <n v="3229200"/>
    <n v="3229200"/>
    <n v="3229200"/>
    <n v="0"/>
    <n v="0"/>
    <x v="4"/>
    <s v="C"/>
  </r>
  <r>
    <s v="2024-03-13 14:34:12"/>
    <n v="2024"/>
    <s v="Actual"/>
    <s v="03-01-01-000"/>
    <s v="DNP GESTION GENERAL"/>
    <s v="1304"/>
    <x v="19"/>
    <s v="C-0399-1000-9-53105B-0399073-02"/>
    <s v="ADQUIS. DE BYS - SERVICIO DE ACTUALIZACIÓN DEL SISTEMA DE GESTIÓN - FORTALECIMIENTO INSTITUCIONAL DE LA PLANEACIÓN, GESTIÓN Y EVALUACIÓN DEL DNP A NIVEL NACIONAL"/>
    <s v="Nación"/>
    <s v="11"/>
    <s v="OTROS RECURSOS DEL TESORO"/>
    <s v="CSF"/>
    <n v="1075444228"/>
    <n v="902321228"/>
    <n v="173123000"/>
    <n v="892153982"/>
    <n v="109348050"/>
    <n v="99786050"/>
    <n v="99786050"/>
    <n v="0"/>
    <n v="0"/>
    <x v="4"/>
    <s v="C"/>
  </r>
  <r>
    <s v="2024-03-13 14:34:12"/>
    <n v="2024"/>
    <s v="Actual"/>
    <s v="03-01-01-000"/>
    <s v="DNP GESTION GENERAL"/>
    <s v="1306"/>
    <x v="20"/>
    <s v="C-0399-1000-9-53105B-0399059-02"/>
    <s v="ADQUIS. DE BYS - SERVICIO DE EDUCACIÓN INFORMAL PARA LA GESTIÓN ADMINISTRATIVA - FORTALECIMIENTO INSTITUCIONAL DE LA PLANEACIÓN, GESTIÓN Y EVALUACIÓN DEL DNP A NIVEL NACIONAL"/>
    <s v="Nación"/>
    <s v="11"/>
    <s v="OTROS RECURSOS DEL TESORO"/>
    <s v="CSF"/>
    <n v="107000000"/>
    <n v="0"/>
    <n v="107000000"/>
    <m/>
    <n v="0"/>
    <n v="0"/>
    <n v="0"/>
    <n v="0"/>
    <n v="0"/>
    <x v="4"/>
    <s v="C"/>
  </r>
  <r>
    <s v="2024-03-13 14:34:12"/>
    <n v="2024"/>
    <s v="Actual"/>
    <s v="03-01-01-000"/>
    <s v="DNP GESTION GENERAL"/>
    <s v="1306"/>
    <x v="20"/>
    <s v="C-0399-1000-9-53105B-0399073-02"/>
    <s v="ADQUIS. DE BYS - SERVICIO DE ACTUALIZACIÓN DEL SISTEMA DE GESTIÓN - FORTALECIMIENTO INSTITUCIONAL DE LA PLANEACIÓN, GESTIÓN Y EVALUACIÓN DEL DNP A NIVEL NACIONAL"/>
    <s v="Nación"/>
    <s v="11"/>
    <s v="OTROS RECURSOS DEL TESORO"/>
    <s v="CSF"/>
    <n v="1388395000"/>
    <n v="471443323"/>
    <n v="916951677"/>
    <n v="449340007"/>
    <n v="17083329"/>
    <n v="17083329"/>
    <n v="17083329"/>
    <n v="0"/>
    <n v="0"/>
    <x v="4"/>
    <s v="C"/>
  </r>
  <r>
    <s v="2024-03-13 14:34:12"/>
    <n v="2024"/>
    <s v="Actual"/>
    <s v="03-01-01-000"/>
    <s v="DNP GESTION GENERAL"/>
    <s v="1308"/>
    <x v="21"/>
    <s v="C-0399-1000-9-53105B-0399054-02"/>
    <s v="ADQUIS. DE BYS - DOCUMENTOS DE LINEAMIENTOS TÉCNICOS - FORTALECIMIENTO INSTITUCIONAL DE LA PLANEACIÓN, GESTIÓN Y EVALUACIÓN DEL DNP A NIVEL NACIONAL"/>
    <s v="Nación"/>
    <s v="11"/>
    <s v="OTROS RECURSOS DEL TESORO"/>
    <s v="CSF"/>
    <n v="559347200"/>
    <n v="554426373"/>
    <n v="4920827"/>
    <n v="550158382"/>
    <n v="45285733"/>
    <n v="45285733"/>
    <n v="45285733"/>
    <n v="0"/>
    <n v="0"/>
    <x v="4"/>
    <s v="C"/>
  </r>
  <r>
    <s v="2024-03-13 14:34:12"/>
    <n v="2024"/>
    <s v="Actual"/>
    <s v="03-01-01-000"/>
    <s v="DNP GESTION GENERAL"/>
    <s v="1701"/>
    <x v="22"/>
    <s v="C-0301-1000-34-53105B-0301003-02"/>
    <s v="ADQUIS. DE BYS - DOCUMENTOS DE LINEAMIENTOS TÉCNICOS - MEJORAMIENTO DE LOS RESULTADOS DE LA GESTION PUBLICA TERRITORIAL A NIVEL NACIONAL"/>
    <s v="Nación"/>
    <s v="11"/>
    <s v="OTROS RECURSOS DEL TESORO"/>
    <s v="CSF"/>
    <n v="1024853333"/>
    <n v="646086667"/>
    <n v="378766666"/>
    <n v="646086667"/>
    <n v="69850008"/>
    <n v="69850008"/>
    <n v="69850008"/>
    <n v="0"/>
    <n v="0"/>
    <x v="9"/>
    <s v="C"/>
  </r>
  <r>
    <s v="2024-03-13 14:34:12"/>
    <n v="2024"/>
    <s v="Actual"/>
    <s v="03-01-01-000"/>
    <s v="DNP GESTION GENERAL"/>
    <s v="1701"/>
    <x v="22"/>
    <s v="C-0301-1000-34-53105B-0301040-02"/>
    <s v="ADQUIS. DE BYS - SERVICIO DE ANALÍTICA Y USO DE LA INFORMACIÓN - MEJORAMIENTO DE LOS RESULTADOS DE LA GESTION PUBLICA TERRITORIAL A NIVEL NACIONAL"/>
    <s v="Nación"/>
    <s v="11"/>
    <s v="OTROS RECURSOS DEL TESORO"/>
    <s v="CSF"/>
    <n v="722036749"/>
    <n v="700136522"/>
    <n v="21900227"/>
    <n v="490575405"/>
    <n v="51125490"/>
    <n v="49420963"/>
    <n v="49420963"/>
    <n v="0"/>
    <n v="0"/>
    <x v="9"/>
    <s v="C"/>
  </r>
  <r>
    <s v="2024-03-13 14:34:12"/>
    <n v="2024"/>
    <s v="Actual"/>
    <s v="03-01-01-000"/>
    <s v="DNP GESTION GENERAL"/>
    <s v="1702"/>
    <x v="23"/>
    <s v="C-0301-1000-34-53105B-0301003-02"/>
    <s v="ADQUIS. DE BYS - DOCUMENTOS DE LINEAMIENTOS TÉCNICOS - MEJORAMIENTO DE LOS RESULTADOS DE LA GESTION PUBLICA TERRITORIAL A NIVEL NACIONAL"/>
    <s v="Nación"/>
    <s v="11"/>
    <s v="OTROS RECURSOS DEL TESORO"/>
    <s v="CSF"/>
    <n v="104737500"/>
    <n v="104737500"/>
    <n v="0"/>
    <n v="0"/>
    <n v="0"/>
    <n v="0"/>
    <n v="0"/>
    <n v="0"/>
    <n v="0"/>
    <x v="9"/>
    <s v="C"/>
  </r>
  <r>
    <s v="2024-03-13 14:34:12"/>
    <n v="2024"/>
    <s v="Actual"/>
    <s v="03-01-01-000"/>
    <s v="DNP GESTION GENERAL"/>
    <s v="1702"/>
    <x v="23"/>
    <s v="C-0301-1000-34-53105B-0301024-02"/>
    <s v="ADQUIS. DE BYS - SERVICIO DE INFORMACIÓN IMPLEMENTADO - MEJORAMIENTO DE LOS RESULTADOS DE LA GESTION PUBLICA TERRITORIAL A NIVEL NACIONAL"/>
    <s v="Nación"/>
    <s v="11"/>
    <s v="OTROS RECURSOS DEL TESORO"/>
    <s v="CSF"/>
    <n v="235613000"/>
    <n v="235613000"/>
    <n v="0"/>
    <n v="234619000"/>
    <n v="28301000"/>
    <n v="28301000"/>
    <n v="28301000"/>
    <n v="0"/>
    <n v="0"/>
    <x v="9"/>
    <s v="C"/>
  </r>
  <r>
    <s v="2024-03-13 14:34:12"/>
    <n v="2024"/>
    <s v="Actual"/>
    <s v="03-01-01-000"/>
    <s v="DNP GESTION GENERAL"/>
    <s v="1702"/>
    <x v="23"/>
    <s v="C-0301-1000-34-53105B-0301027-02"/>
    <s v="ADQUIS. DE BYS - SERVICIO DE ASISTENCIA TÉCNICA - MEJORAMIENTO DE LOS RESULTADOS DE LA GESTION PUBLICA TERRITORIAL A NIVEL NACIONAL"/>
    <s v="Nación"/>
    <s v="11"/>
    <s v="OTROS RECURSOS DEL TESORO"/>
    <s v="CSF"/>
    <n v="1642003333"/>
    <n v="1641537138"/>
    <n v="466195"/>
    <n v="961295780"/>
    <n v="103127080"/>
    <n v="103127080"/>
    <n v="102502080"/>
    <n v="0"/>
    <n v="0"/>
    <x v="9"/>
    <s v="C"/>
  </r>
  <r>
    <s v="2024-03-13 14:34:12"/>
    <n v="2024"/>
    <s v="Actual"/>
    <s v="03-01-01-000"/>
    <s v="DNP GESTION GENERAL"/>
    <s v="1702"/>
    <x v="23"/>
    <s v="C-0301-1000-34-53105B-0301040-02"/>
    <s v="ADQUIS. DE BYS - SERVICIO DE ANALÍTICA Y USO DE LA INFORMACIÓN - MEJORAMIENTO DE LOS RESULTADOS DE LA GESTION PUBLICA TERRITORIAL A NIVEL NACIONAL"/>
    <s v="Nación"/>
    <s v="11"/>
    <s v="OTROS RECURSOS DEL TESORO"/>
    <s v="CSF"/>
    <n v="541418500"/>
    <n v="541418500"/>
    <n v="0"/>
    <n v="430380824"/>
    <n v="47026833"/>
    <n v="47026833"/>
    <n v="47026833"/>
    <n v="0"/>
    <n v="0"/>
    <x v="9"/>
    <s v="C"/>
  </r>
  <r>
    <s v="2024-03-13 14:34:12"/>
    <n v="2024"/>
    <s v="Actual"/>
    <s v="03-01-01-000"/>
    <s v="DNP GESTION GENERAL"/>
    <s v="1702"/>
    <x v="23"/>
    <s v="C-0301-1000-34-53105B-0301041-02"/>
    <s v="ADQUIS. DE BYS - SERVICIO DE COORDINACIÓN Y ARTICULACIÓN EN LA FORMULACIÓN DE INSTRUMENTOS DE PLANEACIÓN - MEJORAMIENTO DE LOS RESULTADOS DE LA GESTION PUBLICA TERRITORIAL A NIVEL NACIONAL"/>
    <s v="Nación"/>
    <s v="11"/>
    <s v="OTROS RECURSOS DEL TESORO"/>
    <s v="CSF"/>
    <n v="543776667"/>
    <n v="543776667"/>
    <n v="0"/>
    <n v="340993322"/>
    <n v="29026667"/>
    <n v="29026667"/>
    <n v="29026667"/>
    <n v="0"/>
    <n v="0"/>
    <x v="9"/>
    <s v="C"/>
  </r>
  <r>
    <s v="2024-03-13 14:34:12"/>
    <n v="2024"/>
    <s v="Actual"/>
    <s v="03-01-01-000"/>
    <s v="DNP GESTION GENERAL"/>
    <s v="1703"/>
    <x v="24"/>
    <s v="C-0301-1000-34-53105B-0301003-02"/>
    <s v="ADQUIS. DE BYS - DOCUMENTOS DE LINEAMIENTOS TÉCNICOS - MEJORAMIENTO DE LOS RESULTADOS DE LA GESTION PUBLICA TERRITORIAL A NIVEL NACIONAL"/>
    <s v="Nación"/>
    <s v="11"/>
    <s v="OTROS RECURSOS DEL TESORO"/>
    <s v="CSF"/>
    <n v="2858700000"/>
    <n v="2858700000"/>
    <n v="0"/>
    <n v="2823080000"/>
    <n v="332299985"/>
    <n v="332299985"/>
    <n v="322033318"/>
    <n v="0"/>
    <n v="0"/>
    <x v="9"/>
    <s v="C"/>
  </r>
  <r>
    <s v="2024-03-13 14:34:12"/>
    <n v="2024"/>
    <s v="Actual"/>
    <s v="03-01-01-000"/>
    <s v="DNP GESTION GENERAL"/>
    <s v="1703"/>
    <x v="24"/>
    <s v="C-0301-1000-34-53105B-0301024-02"/>
    <s v="ADQUIS. DE BYS - SERVICIO DE INFORMACIÓN IMPLEMENTADO - MEJORAMIENTO DE LOS RESULTADOS DE LA GESTION PUBLICA TERRITORIAL A NIVEL NACIONAL"/>
    <s v="Nación"/>
    <s v="11"/>
    <s v="OTROS RECURSOS DEL TESORO"/>
    <s v="CSF"/>
    <n v="442800000"/>
    <n v="442800000"/>
    <n v="0"/>
    <n v="442800000"/>
    <n v="60000000"/>
    <n v="60000000"/>
    <n v="60000000"/>
    <n v="0"/>
    <n v="0"/>
    <x v="9"/>
    <s v="C"/>
  </r>
  <r>
    <s v="2024-03-13 14:34:12"/>
    <n v="2024"/>
    <s v="Actual"/>
    <s v="03-01-01-000"/>
    <s v="DNP GESTION GENERAL"/>
    <s v="1703"/>
    <x v="24"/>
    <s v="C-0301-1000-34-53105B-0301027-02"/>
    <s v="ADQUIS. DE BYS - SERVICIO DE ASISTENCIA TÉCNICA - MEJORAMIENTO DE LOS RESULTADOS DE LA GESTION PUBLICA TERRITORIAL A NIVEL NACIONAL"/>
    <s v="Nación"/>
    <s v="11"/>
    <s v="OTROS RECURSOS DEL TESORO"/>
    <s v="CSF"/>
    <n v="1928484918"/>
    <n v="1923742718"/>
    <n v="4742200"/>
    <n v="1140990499"/>
    <n v="163193024"/>
    <n v="151243362"/>
    <n v="147948623"/>
    <n v="0"/>
    <n v="0"/>
    <x v="9"/>
    <s v="C"/>
  </r>
  <r>
    <s v="2024-03-13 14:34:12"/>
    <n v="2024"/>
    <s v="Actual"/>
    <s v="03-01-01-000"/>
    <s v="DNP GESTION GENERAL"/>
    <s v="1703"/>
    <x v="24"/>
    <s v="C-0301-1000-34-53105B-0301041-02"/>
    <s v="ADQUIS. DE BYS - SERVICIO DE COORDINACIÓN Y ARTICULACIÓN EN LA FORMULACIÓN DE INSTRUMENTOS DE PLANEACIÓN - MEJORAMIENTO DE LOS RESULTADOS DE LA GESTION PUBLICA TERRITORIAL A NIVEL NACIONAL"/>
    <s v="Nación"/>
    <s v="11"/>
    <s v="OTROS RECURSOS DEL TESORO"/>
    <s v="CSF"/>
    <n v="231000000"/>
    <n v="231000000"/>
    <n v="0"/>
    <n v="231000000"/>
    <n v="27500000"/>
    <n v="27500000"/>
    <n v="16133333"/>
    <n v="0"/>
    <n v="0"/>
    <x v="9"/>
    <s v="C"/>
  </r>
  <r>
    <s v="2024-03-13 14:34:12"/>
    <n v="2024"/>
    <s v="Actual"/>
    <s v="03-01-01-000"/>
    <s v="DNP GESTION GENERAL"/>
    <s v="1704"/>
    <x v="25"/>
    <s v="C-0301-1000-34-53105B-0301003-02"/>
    <s v="ADQUIS. DE BYS - DOCUMENTOS DE LINEAMIENTOS TÉCNICOS - MEJORAMIENTO DE LOS RESULTADOS DE LA GESTION PUBLICA TERRITORIAL A NIVEL NACIONAL"/>
    <s v="Nación"/>
    <s v="11"/>
    <s v="OTROS RECURSOS DEL TESORO"/>
    <s v="CSF"/>
    <n v="3327100000"/>
    <n v="1669000000"/>
    <n v="1658100000"/>
    <n v="1510600000"/>
    <n v="138999995"/>
    <n v="138999995"/>
    <n v="138999995"/>
    <n v="0"/>
    <n v="0"/>
    <x v="9"/>
    <s v="C"/>
  </r>
  <r>
    <s v="2024-03-13 14:34:12"/>
    <n v="2024"/>
    <s v="Actual"/>
    <s v="03-01-01-000"/>
    <s v="DNP GESTION GENERAL"/>
    <s v="1704"/>
    <x v="25"/>
    <s v="C-0301-1000-34-53105B-0301027-02"/>
    <s v="ADQUIS. DE BYS - SERVICIO DE ASISTENCIA TÉCNICA - MEJORAMIENTO DE LOS RESULTADOS DE LA GESTION PUBLICA TERRITORIAL A NIVEL NACIONAL"/>
    <s v="Nación"/>
    <s v="11"/>
    <s v="OTROS RECURSOS DEL TESORO"/>
    <s v="CSF"/>
    <n v="5618476000"/>
    <n v="716436561"/>
    <n v="4902039439"/>
    <n v="234553665"/>
    <n v="30823445"/>
    <n v="25338918"/>
    <n v="23024391"/>
    <n v="0"/>
    <n v="0"/>
    <x v="9"/>
    <s v="C"/>
  </r>
  <r>
    <s v="2024-03-13 14:34:12"/>
    <n v="2024"/>
    <s v="Actual"/>
    <s v="03-01-01-000"/>
    <s v="DNP GESTION GENERAL"/>
    <s v="1901"/>
    <x v="26"/>
    <s v="C-0301-1000-18-51102E-0301021-03"/>
    <s v="TRANSF. CTES. - SERVICIO DE APOYO FINANCIERO A PROYECTOS DE INVERSIÓN - APOYO AL DESARROLLO DE PROYECTOS A TRAVÉS DEL FONDO REGIONAL PARA LOS CONTRATOS PLAN. NACIONAL"/>
    <s v="Nación"/>
    <s v="10"/>
    <s v="RECURSOS CORRIENTES"/>
    <s v="CSF"/>
    <n v="742390906700"/>
    <n v="585440956389"/>
    <n v="156949950311"/>
    <n v="585440956389"/>
    <n v="0"/>
    <n v="0"/>
    <n v="0"/>
    <n v="0"/>
    <n v="0"/>
    <x v="2"/>
    <s v="C"/>
  </r>
  <r>
    <s v="2024-03-13 14:34:12"/>
    <n v="2024"/>
    <s v="Actual"/>
    <s v="03-01-01-000"/>
    <s v="DNP GESTION GENERAL"/>
    <s v="1901"/>
    <x v="26"/>
    <s v="C-0301-1000-40-803001-0301022-02"/>
    <s v="ADQUIS. DE BYS - SERVICIO DE APOYO PARA LA INTEGRACIÓN REGIONAL - FORTALECIMIENTO DE LA GESTIÓN DE LA INVERSIÓN PÚBLICA A NIVEL TERRITORIAL Y NACIONAL"/>
    <s v="Nación"/>
    <s v="11"/>
    <s v="OTROS RECURSOS DEL TESORO"/>
    <s v="CSF"/>
    <n v="2029378347"/>
    <n v="1857471051"/>
    <n v="171907296"/>
    <n v="516015123"/>
    <n v="19349665"/>
    <n v="19349665"/>
    <n v="19349665"/>
    <n v="0"/>
    <n v="0"/>
    <x v="10"/>
    <s v="C"/>
  </r>
  <r>
    <s v="2024-03-13 14:34:12"/>
    <n v="2024"/>
    <s v="Actual"/>
    <s v="03-01-01-000"/>
    <s v="DNP GESTION GENERAL"/>
    <s v="1901"/>
    <x v="26"/>
    <s v="C-0301-1000-40-803001-0301025-02"/>
    <s v="ADQUIS. DE BYS - SERVICIO DE INFORMACIÓN ACTUALIZADO - FORTALECIMIENTO DE LA GESTIÓN DE LA INVERSIÓN PÚBLICA A NIVEL TERRITORIAL Y NACIONAL"/>
    <s v="Nación"/>
    <s v="11"/>
    <s v="OTROS RECURSOS DEL TESORO"/>
    <s v="CSF"/>
    <n v="417087667"/>
    <n v="120102667"/>
    <n v="296985000"/>
    <n v="116549324"/>
    <n v="9949324"/>
    <n v="9949324"/>
    <n v="9949324"/>
    <n v="0"/>
    <n v="0"/>
    <x v="10"/>
    <s v="C"/>
  </r>
  <r>
    <s v="2024-03-13 14:34:12"/>
    <n v="2024"/>
    <s v="Actual"/>
    <s v="03-01-01-000"/>
    <s v="DNP GESTION GENERAL"/>
    <s v="1901"/>
    <x v="26"/>
    <s v="C-0301-1000-40-803001-0301027-02"/>
    <s v="ADQUIS. DE BYS - SERVICIO DE ASISTENCIA TÉCNICA - FORTALECIMIENTO DE LA GESTIÓN DE LA INVERSIÓN PÚBLICA A NIVEL TERRITORIAL Y NACIONAL"/>
    <s v="Nación"/>
    <s v="11"/>
    <s v="OTROS RECURSOS DEL TESORO"/>
    <s v="CSF"/>
    <n v="4106120114"/>
    <n v="1298780865"/>
    <n v="2807339249"/>
    <n v="884033496"/>
    <n v="52131067"/>
    <n v="52131067"/>
    <n v="52131067"/>
    <n v="0"/>
    <n v="0"/>
    <x v="10"/>
    <s v="C"/>
  </r>
  <r>
    <s v="2024-03-13 14:34:12"/>
    <n v="2024"/>
    <s v="Actual"/>
    <s v="03-01-01-000"/>
    <s v="DNP GESTION GENERAL"/>
    <s v="1901"/>
    <x v="26"/>
    <s v="C-0301-1000-40-803001-0301042-02"/>
    <s v="ADQUIS. DE BYS - SERVICIO DE SEGUIMIENTO - FORTALECIMIENTO DE LA GESTIÓN DE LA INVERSIÓN PÚBLICA A NIVEL TERRITORIAL Y NACIONAL"/>
    <s v="Nación"/>
    <s v="11"/>
    <s v="OTROS RECURSOS DEL TESORO"/>
    <s v="CSF"/>
    <n v="979855441"/>
    <n v="815263844"/>
    <n v="164591597"/>
    <n v="695873341"/>
    <n v="59874108"/>
    <n v="59874108"/>
    <n v="59874108"/>
    <n v="0"/>
    <n v="0"/>
    <x v="10"/>
    <s v="C"/>
  </r>
  <r>
    <s v="2024-03-13 14:34:12"/>
    <n v="2024"/>
    <s v="Actual"/>
    <s v="03-01-01-000"/>
    <s v="DNP GESTION GENERAL"/>
    <s v="1902"/>
    <x v="27"/>
    <s v="C-0301-1000-40-803001-0301002-02"/>
    <s v="ADQUIS. DE BYS - DOCUMENTOS METODOLÓGICOS - FORTALECIMIENTO DE LA GESTIÓN DE LA INVERSIÓN PÚBLICA A NIVEL TERRITORIAL Y NACIONAL"/>
    <s v="Nación"/>
    <s v="11"/>
    <s v="OTROS RECURSOS DEL TESORO"/>
    <s v="CSF"/>
    <n v="779467392"/>
    <n v="662333332"/>
    <n v="117134060"/>
    <n v="641896669"/>
    <n v="23553326"/>
    <n v="23553326"/>
    <n v="17813333"/>
    <n v="0"/>
    <n v="0"/>
    <x v="10"/>
    <s v="C"/>
  </r>
  <r>
    <s v="2024-03-13 14:34:12"/>
    <n v="2024"/>
    <s v="Actual"/>
    <s v="03-01-01-000"/>
    <s v="DNP GESTION GENERAL"/>
    <s v="1902"/>
    <x v="27"/>
    <s v="C-0301-1000-40-803001-0301025-02"/>
    <s v="ADQUIS. DE BYS - SERVICIO DE INFORMACIÓN ACTUALIZADO - FORTALECIMIENTO DE LA GESTIÓN DE LA INVERSIÓN PÚBLICA A NIVEL TERRITORIAL Y NACIONAL"/>
    <s v="Nación"/>
    <s v="11"/>
    <s v="OTROS RECURSOS DEL TESORO"/>
    <s v="CSF"/>
    <n v="7246366582"/>
    <n v="7121436632"/>
    <n v="124929950"/>
    <n v="6702826678"/>
    <n v="589633339"/>
    <n v="572033339"/>
    <n v="510013330"/>
    <n v="0"/>
    <n v="0"/>
    <x v="10"/>
    <s v="C"/>
  </r>
  <r>
    <s v="2024-03-13 14:34:12"/>
    <n v="2024"/>
    <s v="Actual"/>
    <s v="03-01-01-000"/>
    <s v="DNP GESTION GENERAL"/>
    <s v="1902"/>
    <x v="27"/>
    <s v="C-0301-1000-40-803001-0301027-02"/>
    <s v="ADQUIS. DE BYS - SERVICIO DE ASISTENCIA TÉCNICA - FORTALECIMIENTO DE LA GESTIÓN DE LA INVERSIÓN PÚBLICA A NIVEL TERRITORIAL Y NACIONAL"/>
    <s v="Nación"/>
    <s v="11"/>
    <s v="OTROS RECURSOS DEL TESORO"/>
    <s v="CSF"/>
    <n v="1390720447"/>
    <n v="1387320447"/>
    <n v="3400000"/>
    <n v="1025991849"/>
    <n v="115797780"/>
    <n v="115797780"/>
    <n v="112197780"/>
    <n v="0"/>
    <n v="0"/>
    <x v="10"/>
    <s v="C"/>
  </r>
  <r>
    <s v="2024-03-13 14:34:12"/>
    <n v="2024"/>
    <s v="Actual"/>
    <s v="03-01-01-000"/>
    <s v="DNP GESTION GENERAL"/>
    <s v="1903"/>
    <x v="28"/>
    <s v="C-0301-1000-40-803001-0301027-02"/>
    <s v="ADQUIS. DE BYS - SERVICIO DE ASISTENCIA TÉCNICA - FORTALECIMIENTO DE LA GESTIÓN DE LA INVERSIÓN PÚBLICA A NIVEL TERRITORIAL Y NACIONAL"/>
    <s v="Nación"/>
    <s v="11"/>
    <s v="OTROS RECURSOS DEL TESORO"/>
    <s v="CSF"/>
    <n v="1235449073"/>
    <n v="1235449073"/>
    <n v="0"/>
    <n v="869295730"/>
    <n v="81627533"/>
    <n v="69573533"/>
    <n v="53319533"/>
    <n v="0"/>
    <n v="0"/>
    <x v="10"/>
    <s v="C"/>
  </r>
  <r>
    <s v="2024-03-13 14:34:12"/>
    <n v="2024"/>
    <s v="Actual"/>
    <s v="03-01-01-000"/>
    <s v="DNP GESTION GENERAL"/>
    <s v="1903"/>
    <x v="28"/>
    <s v="C-0301-1000-40-803001-0301042-02"/>
    <s v="ADQUIS. DE BYS - SERVICIO DE SEGUIMIENTO - FORTALECIMIENTO DE LA GESTIÓN DE LA INVERSIÓN PÚBLICA A NIVEL TERRITORIAL Y NACIONAL"/>
    <s v="Nación"/>
    <s v="11"/>
    <s v="OTROS RECURSOS DEL TESORO"/>
    <s v="CSF"/>
    <n v="1248462708"/>
    <n v="1230981694"/>
    <n v="17481014"/>
    <n v="954664987"/>
    <n v="50299995"/>
    <n v="50299995"/>
    <n v="50299995"/>
    <n v="0"/>
    <n v="0"/>
    <x v="10"/>
    <s v="C"/>
  </r>
  <r>
    <s v="2024-03-13 14:34:12"/>
    <n v="2024"/>
    <s v="Actual"/>
    <s v="03-01-01-000"/>
    <s v="DNP GESTION GENERAL"/>
    <s v="1903"/>
    <x v="28"/>
    <s v="C-0301-1000-40-803001-0301048-02"/>
    <s v="ADQUIS. DE BYS - SERVICIO DE GESTIÓN DE PROCESOS PRESUPUESTALES ASOCIADOS A LA INVERSIÓN PÚBLICA - FORTALECIMIENTO DE LA GESTIÓN DE LA INVERSIÓN PÚBLICA A NIVEL TERRITORIAL Y NACIONAL"/>
    <s v="Nación"/>
    <s v="11"/>
    <s v="OTROS RECURSOS DEL TESORO"/>
    <s v="CSF"/>
    <n v="1934092229"/>
    <n v="1934092229"/>
    <n v="0"/>
    <n v="1411846994"/>
    <n v="117175337"/>
    <n v="117175337"/>
    <n v="108345337"/>
    <n v="0"/>
    <n v="0"/>
    <x v="10"/>
    <s v="C"/>
  </r>
  <r>
    <s v="2024-03-13 14:34:12"/>
    <n v="2024"/>
    <s v="Actual"/>
    <s v="03-01-01-000"/>
    <s v="DNP GESTION GENERAL"/>
    <s v="1905"/>
    <x v="29"/>
    <s v="C-0301-1000-38-53105F-0301003-02"/>
    <s v="ADQUIS. DE BYS - DOCUMENTOS DE LINEAMIENTOS TÉCNICOS - APROVECHAMIENTO DE LA INFORMACIÓN DEL SEGUIMIENTO Y LA EVALUACIÓN DE POLÍTICAS PÚBLICAS PARA LA TOMA DE DECISIONES BASADAS EN EVIDENCIA, A NIVEL NACIONAL"/>
    <s v="Nación"/>
    <s v="11"/>
    <s v="OTROS RECURSOS DEL TESORO"/>
    <s v="CSF"/>
    <n v="538962757"/>
    <n v="270638720"/>
    <n v="268324037"/>
    <n v="265118980"/>
    <n v="32154400"/>
    <n v="32154400"/>
    <n v="32154400"/>
    <n v="0"/>
    <n v="0"/>
    <x v="11"/>
    <s v="C"/>
  </r>
  <r>
    <s v="2024-03-13 14:34:12"/>
    <n v="2024"/>
    <s v="Actual"/>
    <s v="03-01-01-000"/>
    <s v="DNP GESTION GENERAL"/>
    <s v="1905"/>
    <x v="29"/>
    <s v="C-0301-1000-38-53105F-0301008-02"/>
    <s v="ADQUIS. DE BYS - SERVICIO DE SEGUIMIENTO A INSTRUMENTOS DE PLANEACIÓN - APROVECHAMIENTO DE LA INFORMACIÓN DEL SEGUIMIENTO Y LA EVALUACIÓN DE POLÍTICAS PÚBLICAS PARA LA TOMA DE DECISIONES BASADAS EN EVIDENCIA, A NIVEL NACIONAL"/>
    <s v="Nación"/>
    <s v="11"/>
    <s v="OTROS RECURSOS DEL TESORO"/>
    <s v="CSF"/>
    <n v="0"/>
    <n v="0"/>
    <n v="0"/>
    <m/>
    <n v="0"/>
    <n v="0"/>
    <n v="0"/>
    <n v="0"/>
    <n v="0"/>
    <x v="11"/>
    <s v="C"/>
  </r>
  <r>
    <s v="2024-03-13 14:34:12"/>
    <n v="2024"/>
    <s v="Actual"/>
    <s v="03-01-01-000"/>
    <s v="DNP GESTION GENERAL"/>
    <s v="1905"/>
    <x v="29"/>
    <s v="C-0301-1000-38-53105F-0301009-02"/>
    <s v="ADQUIS. DE BYS - SERVICIO DE EVALUACIÓN A LA POLÍTICA PÚBLICA - APROVECHAMIENTO DE LA INFORMACIÓN DEL SEGUIMIENTO Y LA EVALUACIÓN DE POLÍTICAS PÚBLICAS PARA LA TOMA DE DECISIONES BASADAS EN EVIDENCIA, A NIVEL NACIONAL"/>
    <s v="Nación"/>
    <s v="11"/>
    <s v="OTROS RECURSOS DEL TESORO"/>
    <s v="CSF"/>
    <n v="3049859520"/>
    <n v="3049859520"/>
    <n v="0"/>
    <n v="3049859520"/>
    <n v="0"/>
    <n v="0"/>
    <n v="0"/>
    <n v="0"/>
    <n v="0"/>
    <x v="11"/>
    <s v="C"/>
  </r>
  <r>
    <s v="2024-03-13 14:34:12"/>
    <n v="2024"/>
    <s v="Actual"/>
    <s v="03-01-01-000"/>
    <s v="DNP GESTION GENERAL"/>
    <s v="1905"/>
    <x v="29"/>
    <s v="C-0301-1000-38-53105F-0301024-02"/>
    <s v="ADQUIS. DE BYS - SERVICIO DE INFORMACIÓN IMPLEMENTADO - APROVECHAMIENTO DE LA INFORMACIÓN DEL SEGUIMIENTO Y LA EVALUACIÓN DE POLÍTICAS PÚBLICAS PARA LA TOMA DE DECISIONES BASADAS EN EVIDENCIA, A NIVEL NACIONAL"/>
    <s v="Nación"/>
    <s v="11"/>
    <s v="OTROS RECURSOS DEL TESORO"/>
    <s v="CSF"/>
    <n v="918990333"/>
    <n v="889234575"/>
    <n v="29755758"/>
    <n v="774607377"/>
    <n v="61668056"/>
    <n v="61668056"/>
    <n v="52072523"/>
    <n v="0"/>
    <n v="0"/>
    <x v="11"/>
    <s v="C"/>
  </r>
  <r>
    <s v="2024-03-13 14:34:12"/>
    <n v="2024"/>
    <s v="Actual"/>
    <s v="03-01-01-000"/>
    <s v="DNP GESTION GENERAL"/>
    <s v="1905"/>
    <x v="29"/>
    <s v="C-0301-1000-38-53105F-0301027-02"/>
    <s v="ADQUIS. DE BYS - SERVICIO DE ASISTENCIA TÉCNICA - APROVECHAMIENTO DE LA INFORMACIÓN DEL SEGUIMIENTO Y LA EVALUACIÓN DE POLÍTICAS PÚBLICAS PARA LA TOMA DE DECISIONES BASADAS EN EVIDENCIA, A NIVEL NACIONAL"/>
    <s v="Nación"/>
    <s v="11"/>
    <s v="OTROS RECURSOS DEL TESORO"/>
    <s v="CSF"/>
    <n v="620906000"/>
    <n v="617990000"/>
    <n v="2916000"/>
    <n v="548576948"/>
    <n v="41198406"/>
    <n v="41198406"/>
    <n v="22198406"/>
    <n v="0"/>
    <n v="0"/>
    <x v="11"/>
    <s v="C"/>
  </r>
  <r>
    <s v="2024-03-13 14:34:12"/>
    <n v="2024"/>
    <s v="Actual"/>
    <s v="03-01-01-000"/>
    <s v="DNP GESTION GENERAL"/>
    <s v="1905"/>
    <x v="29"/>
    <s v="C-0301-1000-38-53105F-0301040-02"/>
    <s v="ADQUIS. DE BYS - SERVICIO DE ANALÍTICA Y USO DE LA INFORMACIÓN - APROVECHAMIENTO DE LA INFORMACIÓN DEL SEGUIMIENTO Y LA EVALUACIÓN DE POLÍTICAS PÚBLICAS PARA LA TOMA DE DECISIONES BASADAS EN EVIDENCIA, A NIVEL NACIONAL"/>
    <s v="Nación"/>
    <s v="11"/>
    <s v="OTROS RECURSOS DEL TESORO"/>
    <s v="CSF"/>
    <n v="2295696400"/>
    <n v="281004000"/>
    <n v="2014692400"/>
    <n v="279420670"/>
    <n v="26923076"/>
    <n v="26923076"/>
    <n v="26923076"/>
    <n v="0"/>
    <n v="0"/>
    <x v="11"/>
    <s v="C"/>
  </r>
  <r>
    <s v="2024-03-13 14:34:12"/>
    <n v="2024"/>
    <s v="Actual"/>
    <s v="03-01-01-000"/>
    <s v="DNP GESTION GENERAL"/>
    <s v="1905"/>
    <x v="29"/>
    <s v="C-0301-1000-38-53105F-0301042-02"/>
    <s v="ADQUIS. DE BYS - SERVICIO DE SEGUIMIENTO - 5. CONVERGENCIA REGIONAL / F. EFICIENCIA INSTITUCIONAL PARA EL CUMPLIMIENTO DE LOS ACUERDOS REALIZADOS CON LAS COMUNIDADES"/>
    <s v="Nación"/>
    <s v="11"/>
    <s v="OTROS RECURSOS DEL TESORO"/>
    <s v="CSF"/>
    <n v="2050997600"/>
    <n v="1871788989"/>
    <n v="179208611"/>
    <n v="1740241921"/>
    <n v="141498692"/>
    <n v="131998692"/>
    <n v="103545025"/>
    <n v="0"/>
    <n v="0"/>
    <x v="11"/>
    <s v="C"/>
  </r>
  <r>
    <s v="2024-03-13 14:34:12"/>
    <n v="2024"/>
    <s v="Actual"/>
    <s v="03-01-01-000"/>
    <s v="DNP GESTION GENERAL"/>
    <s v="1905"/>
    <x v="29"/>
    <s v="C-0301-1000-38-53105F-0301046-02"/>
    <s v="ADQUIS. DE BYS - SERVICIO DE EVALUACIÓN - APROVECHAMIENTO DE LA INFORMACIÓN DEL SEGUIMIENTO Y LA EVALUACIÓN DE POLÍTICAS PÚBLICAS PARA LA TOMA DE DECISIONES BASADAS EN EVIDENCIA, A NIVEL NACIONAL"/>
    <s v="Nación"/>
    <s v="11"/>
    <s v="OTROS RECURSOS DEL TESORO"/>
    <s v="CSF"/>
    <n v="11524587390"/>
    <n v="9904698420"/>
    <n v="1619888970"/>
    <n v="1126269150"/>
    <n v="64597590"/>
    <n v="64597590"/>
    <n v="49806450"/>
    <n v="0"/>
    <n v="0"/>
    <x v="11"/>
    <s v="C"/>
  </r>
  <r>
    <s v="2024-03-13 14:34:12"/>
    <n v="2024"/>
    <s v="Actual"/>
    <s v="03-01-01-042"/>
    <s v="DNP PROGRAMA DE FORTALECIMIENTO"/>
    <s v="1702"/>
    <x v="23"/>
    <s v="C-0301-1000-20-51102E-0301030-02"/>
    <s v="ADQUIS. DE BYS - DOCUMENTO PARA LA PLANEACIÓN ESTRATÉGICA EN TECNOLOGÍAS DE LA INFORMACIÓN - FORTALECIMIENTO DE LAS ENTIDADES TERRITORIALES NACIONAL"/>
    <s v="Nación"/>
    <s v="14"/>
    <s v="PRESTAMOS DESTINACIÓN ESPECIFICA"/>
    <s v="CSF"/>
    <n v="1267014897"/>
    <n v="597962057"/>
    <n v="669052840"/>
    <n v="597962057"/>
    <n v="0"/>
    <n v="0"/>
    <n v="0"/>
    <n v="0"/>
    <n v="0"/>
    <x v="1"/>
    <s v="C"/>
  </r>
  <r>
    <s v="2024-03-13 14:34:12"/>
    <n v="2024"/>
    <s v="Actual"/>
    <s v="03-01-01-042"/>
    <s v="DNP PROGRAMA DE FORTALECIMIENTO"/>
    <s v="1703"/>
    <x v="24"/>
    <s v="C-0301-1000-20-51102E-0301027-02"/>
    <s v="ADQUIS. DE BYS - SERVICIO DE ASISTENCIA TÉCNICA - FORTALECIMIENTO DE LAS ENTIDADES TERRITORIALES NACIONAL"/>
    <s v="Nación"/>
    <s v="14"/>
    <s v="PRESTAMOS DESTINACIÓN ESPECIFICA"/>
    <s v="CSF"/>
    <n v="495655771"/>
    <n v="272339048"/>
    <n v="223316723"/>
    <n v="272339048"/>
    <n v="0"/>
    <n v="0"/>
    <n v="0"/>
    <n v="0"/>
    <n v="0"/>
    <x v="1"/>
    <s v="C"/>
  </r>
  <r>
    <s v="2024-03-13 14:34:12"/>
    <n v="2024"/>
    <s v="Actual"/>
    <s v="03-01-01-042"/>
    <s v="DNP PROGRAMA DE FORTALECIMIENTO"/>
    <s v="1704"/>
    <x v="25"/>
    <s v="C-0301-1000-20-51102E-0301027-02"/>
    <s v="ADQUIS. DE BYS - SERVICIO DE ASISTENCIA TÉCNICA - FORTALECIMIENTO DE LAS ENTIDADES TERRITORIALES NACIONAL"/>
    <s v="Nación"/>
    <s v="14"/>
    <s v="PRESTAMOS DESTINACIÓN ESPECIFICA"/>
    <s v="CSF"/>
    <n v="4265538332"/>
    <n v="3061227103"/>
    <n v="1204311229"/>
    <n v="3061227103"/>
    <n v="0"/>
    <n v="0"/>
    <n v="0"/>
    <n v="0"/>
    <n v="0"/>
    <x v="1"/>
    <s v="C"/>
  </r>
  <r>
    <s v="2024-03-13 14:34:12"/>
    <n v="2024"/>
    <s v="Actual"/>
    <s v="03-01-01-054"/>
    <s v="DNP CATASTRO MULTIPROPOSITO"/>
    <s v="1301"/>
    <x v="18"/>
    <s v="C-0301-1000-22-10305B-0301027-02-04011"/>
    <s v="GESTIÓN Y COORDINACIÓN DEL PROYECTO DNP - BID"/>
    <s v="Nación"/>
    <s v="14"/>
    <s v="PRESTAMOS DESTINACIÓN ESPECIFICA"/>
    <s v="CSF"/>
    <n v="123900000"/>
    <n v="0"/>
    <n v="123900000"/>
    <m/>
    <n v="0"/>
    <n v="0"/>
    <n v="0"/>
    <n v="0"/>
    <n v="0"/>
    <x v="12"/>
    <s v="C"/>
  </r>
  <r>
    <s v="2024-03-13 14:34:12"/>
    <n v="2024"/>
    <s v="Actual"/>
    <s v="03-01-01-054"/>
    <s v="DNP CATASTRO MULTIPROPOSITO"/>
    <s v="1305"/>
    <x v="30"/>
    <s v="C-0301-1000-22-10305B-0301027-02-04011"/>
    <s v="GESTIÓN Y COORDINACIÓN DEL PROYECTO DNP - BID"/>
    <s v="Nación"/>
    <s v="14"/>
    <s v="PRESTAMOS DESTINACIÓN ESPECIFICA"/>
    <s v="CSF"/>
    <n v="160000000"/>
    <n v="0"/>
    <n v="160000000"/>
    <m/>
    <n v="0"/>
    <n v="0"/>
    <n v="0"/>
    <n v="0"/>
    <n v="0"/>
    <x v="12"/>
    <s v="C"/>
  </r>
  <r>
    <s v="2024-03-13 14:34:12"/>
    <n v="2024"/>
    <s v="Actual"/>
    <s v="03-01-01-054"/>
    <s v="DNP CATASTRO MULTIPROPOSITO"/>
    <s v="1305"/>
    <x v="30"/>
    <s v="C-0301-1000-22-10305B-0301027-02-04012"/>
    <s v="GESTIÓN Y COORDINACIÓN DEL PROYECTO DNP - BM"/>
    <s v="Nación"/>
    <s v="14"/>
    <s v="PRESTAMOS DESTINACIÓN ESPECIFICA"/>
    <s v="CSF"/>
    <n v="287995000"/>
    <n v="195160000"/>
    <n v="92835000"/>
    <n v="181493333"/>
    <n v="17493333"/>
    <n v="17493333"/>
    <n v="17493333"/>
    <n v="0"/>
    <n v="0"/>
    <x v="12"/>
    <s v="C"/>
  </r>
  <r>
    <s v="2024-03-13 14:34:12"/>
    <n v="2024"/>
    <s v="Actual"/>
    <s v="03-01-01-054"/>
    <s v="DNP CATASTRO MULTIPROPOSITO"/>
    <s v="1308"/>
    <x v="21"/>
    <s v="C-0301-1000-22-10305B-0301027-02-04011"/>
    <s v="GESTIÓN Y COORDINACIÓN DEL PROYECTO DNP - BID"/>
    <s v="Nación"/>
    <s v="14"/>
    <s v="PRESTAMOS DESTINACIÓN ESPECIFICA"/>
    <s v="CSF"/>
    <n v="309000000"/>
    <n v="118999881"/>
    <n v="190000119"/>
    <n v="110666666"/>
    <n v="10666666"/>
    <n v="10666666"/>
    <n v="10666666"/>
    <n v="0"/>
    <n v="0"/>
    <x v="12"/>
    <s v="C"/>
  </r>
  <r>
    <s v="2024-03-13 14:34:12"/>
    <n v="2024"/>
    <s v="Actual"/>
    <s v="03-01-01-054"/>
    <s v="DNP CATASTRO MULTIPROPOSITO"/>
    <s v="1308"/>
    <x v="21"/>
    <s v="C-0301-1000-22-10305B-0301027-02-04012"/>
    <s v="GESTIÓN Y COORDINACIÓN DEL PROYECTO DNP - BM"/>
    <s v="Nación"/>
    <s v="14"/>
    <s v="PRESTAMOS DESTINACIÓN ESPECIFICA"/>
    <s v="CSF"/>
    <n v="166600000"/>
    <n v="164266652"/>
    <n v="2333348"/>
    <n v="0"/>
    <n v="0"/>
    <n v="0"/>
    <n v="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01-02-01011"/>
    <s v="FORTALECIMIENTO INSTITUCIONAL PARA EL GOBIERNO NACIONAL - BID"/>
    <s v="Nación"/>
    <s v="14"/>
    <s v="PRESTAMOS DESTINACIÓN ESPECIFICA"/>
    <s v="CSF"/>
    <n v="1752732456"/>
    <n v="1459332456"/>
    <n v="293400000"/>
    <n v="698699123"/>
    <n v="8470000"/>
    <n v="8470000"/>
    <n v="847000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01-02-01012"/>
    <s v="FORTALECIMIENTO INSTITUCIONAL PARA EL GOBIERNO NACIONAL - BM"/>
    <s v="Nación"/>
    <s v="14"/>
    <s v="PRESTAMOS DESTINACIÓN ESPECIFICA"/>
    <s v="CSF"/>
    <n v="700000000"/>
    <n v="0"/>
    <n v="700000000"/>
    <m/>
    <n v="0"/>
    <n v="0"/>
    <n v="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27-02-03041"/>
    <s v="GENERACIÓN Y FORTALECIMIENTO DE CAPACIDADES INSTITUCIONALES EN ENTIDADES TERRITORIALES - BID"/>
    <s v="Nación"/>
    <s v="14"/>
    <s v="PRESTAMOS DESTINACIÓN ESPECIFICA"/>
    <s v="CSF"/>
    <n v="12003003335"/>
    <n v="1585203335"/>
    <n v="10417800000"/>
    <n v="745830000"/>
    <n v="16396677"/>
    <n v="15590010"/>
    <n v="1559001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27-02-03042"/>
    <s v="GENERACIÓN Y FORTALECIMIENTO DE CAPACIDADES INSTITUCIONALES EN ENTIDADES TERRITORIALES - BM"/>
    <s v="Nación"/>
    <s v="14"/>
    <s v="PRESTAMOS DESTINACIÓN ESPECIFICA"/>
    <s v="CSF"/>
    <n v="1367973334"/>
    <n v="967973334"/>
    <n v="400000000"/>
    <n v="632740000"/>
    <n v="49400014"/>
    <n v="37933340"/>
    <n v="3793334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27-02-04011"/>
    <s v="GESTIÓN Y COORDINACIÓN DEL PROYECTO DNP - BID"/>
    <s v="Nación"/>
    <s v="14"/>
    <s v="PRESTAMOS DESTINACIÓN ESPECIFICA"/>
    <s v="CSF"/>
    <n v="1635719733"/>
    <n v="918653067"/>
    <n v="717066666"/>
    <n v="222770000"/>
    <n v="12695320"/>
    <n v="12695320"/>
    <n v="12695320"/>
    <n v="0"/>
    <n v="0"/>
    <x v="12"/>
    <s v="C"/>
  </r>
  <r>
    <s v="2024-03-13 14:34:12"/>
    <n v="2024"/>
    <s v="Actual"/>
    <s v="03-01-01-054"/>
    <s v="DNP CATASTRO MULTIPROPOSITO"/>
    <s v="1703"/>
    <x v="24"/>
    <s v="C-0301-1000-22-10305B-0301027-02-04012"/>
    <s v="GESTIÓN Y COORDINACIÓN DEL PROYECTO DNP - BM"/>
    <s v="Nación"/>
    <s v="14"/>
    <s v="PRESTAMOS DESTINACIÓN ESPECIFICA"/>
    <s v="CSF"/>
    <n v="1993076142"/>
    <n v="1993076142"/>
    <n v="0"/>
    <n v="1438898346"/>
    <n v="87974395"/>
    <n v="70662289"/>
    <n v="70662289"/>
    <n v="0"/>
    <n v="0"/>
    <x v="12"/>
    <s v="C"/>
  </r>
  <r>
    <s v="2024-03-13 14:34:12"/>
    <n v="2024"/>
    <s v="Actual"/>
    <s v="03-01-01-055"/>
    <s v="DNP NUEVA POLÍTICA DE LOGÍSTICA NACIONAL"/>
    <s v="1208"/>
    <x v="10"/>
    <s v="C-0301-1000-29-52104E-0301002-02-1"/>
    <s v="EFICIENCIA LOGÍSTICA SOPORTADA EN EL TRANSPORTE"/>
    <s v="Nación"/>
    <s v="14"/>
    <s v="PRESTAMOS DESTINACIÓN ESPECIFICA"/>
    <s v="CSF"/>
    <n v="5395919270"/>
    <n v="5395919270"/>
    <n v="0"/>
    <n v="5395919270"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02-02-2"/>
    <s v="LOGÍSTICA TERRITORIAL"/>
    <s v="Nación"/>
    <s v="14"/>
    <s v="PRESTAMOS DESTINACIÓN ESPECIFICA"/>
    <s v="CSF"/>
    <n v="4267705632"/>
    <n v="898186415"/>
    <n v="3369519217"/>
    <n v="898186415"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02-02-3"/>
    <s v="COMPETITIVIDAD LOGÍSTICA Y FACILITACIÓN COMERCIAL"/>
    <s v="Nación"/>
    <s v="14"/>
    <s v="PRESTAMOS DESTINACIÓN ESPECIFICA"/>
    <s v="CSF"/>
    <n v="2710933335"/>
    <n v="0"/>
    <n v="2710933335"/>
    <m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02-02-5"/>
    <s v="GESTIÓN DEL PROGRAMA"/>
    <s v="Nación"/>
    <s v="14"/>
    <s v="PRESTAMOS DESTINACIÓN ESPECIFICA"/>
    <s v="CSF"/>
    <n v="97905488"/>
    <n v="97905488"/>
    <n v="0"/>
    <n v="97905488"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03-02-3"/>
    <s v="COMPETITIVIDAD LOGÍSTICA Y FACILITACIÓN COMERCIAL"/>
    <s v="Nación"/>
    <s v="14"/>
    <s v="PRESTAMOS DESTINACIÓN ESPECIFICA"/>
    <s v="CSF"/>
    <n v="271224800"/>
    <n v="271224800"/>
    <n v="0"/>
    <n v="271224800"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27-02-1"/>
    <s v="EFICIENCIA LOGÍSTICA SOPORTADA EN EL TRANSPORTE"/>
    <s v="Nación"/>
    <s v="14"/>
    <s v="PRESTAMOS DESTINACIÓN ESPECIFICA"/>
    <s v="CSF"/>
    <n v="458808504"/>
    <n v="458808504"/>
    <n v="0"/>
    <n v="270899178"/>
    <n v="39249600"/>
    <n v="39249600"/>
    <n v="3924960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27-02-2"/>
    <s v="LOGÍSTICA TERRITORIAL"/>
    <s v="Nación"/>
    <s v="14"/>
    <s v="PRESTAMOS DESTINACIÓN ESPECIFICA"/>
    <s v="CSF"/>
    <n v="109666138"/>
    <n v="0"/>
    <n v="109666138"/>
    <m/>
    <n v="0"/>
    <n v="0"/>
    <n v="0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27-02-3"/>
    <s v="COMPETITIVIDAD LOGÍSTICA Y FACILITACIÓN COMERCIAL"/>
    <s v="Nación"/>
    <s v="14"/>
    <s v="PRESTAMOS DESTINACIÓN ESPECIFICA"/>
    <s v="CSF"/>
    <n v="661325830"/>
    <n v="661325830"/>
    <n v="0"/>
    <n v="661325830"/>
    <n v="96190712"/>
    <n v="84981712"/>
    <n v="84981712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27-02-4"/>
    <s v="FORTALECIMIENTO Y ARTICULACIÓN INSTITUCIONAL"/>
    <s v="Nación"/>
    <s v="14"/>
    <s v="PRESTAMOS DESTINACIÓN ESPECIFICA"/>
    <s v="CSF"/>
    <n v="1062839326"/>
    <n v="416589326"/>
    <n v="646250000"/>
    <n v="370721661"/>
    <n v="52405671"/>
    <n v="35605671"/>
    <n v="34928671"/>
    <n v="0"/>
    <n v="0"/>
    <x v="13"/>
    <s v="C"/>
  </r>
  <r>
    <s v="2024-03-13 14:34:12"/>
    <n v="2024"/>
    <s v="Actual"/>
    <s v="03-01-01-055"/>
    <s v="DNP NUEVA POLÍTICA DE LOGÍSTICA NACIONAL"/>
    <s v="1208"/>
    <x v="10"/>
    <s v="C-0301-1000-29-52104E-0301027-02-5"/>
    <s v="GESTIÓN DEL PROGRAMA"/>
    <s v="Nación"/>
    <s v="14"/>
    <s v="PRESTAMOS DESTINACIÓN ESPECIFICA"/>
    <s v="CSF"/>
    <n v="196077064"/>
    <n v="192780000"/>
    <n v="3297064"/>
    <n v="190620000"/>
    <n v="28620000"/>
    <n v="28620000"/>
    <n v="28620000"/>
    <n v="0"/>
    <n v="0"/>
    <x v="13"/>
    <s v="C"/>
  </r>
  <r>
    <s v="2024-03-13 14:34:12"/>
    <n v="2024"/>
    <s v="Actual"/>
    <s v="03-01-01-055"/>
    <s v="DNP NUEVA POLÍTICA DE LOGÍSTICA NACIONAL"/>
    <s v="1305"/>
    <x v="30"/>
    <s v="C-0301-1000-29-52104E-0301027-02-5"/>
    <s v="GESTIÓN DEL PROGRAMA"/>
    <s v="Nación"/>
    <s v="14"/>
    <s v="PRESTAMOS DESTINACIÓN ESPECIFICA"/>
    <s v="CSF"/>
    <n v="290966118"/>
    <n v="290966118"/>
    <n v="0"/>
    <n v="290966118"/>
    <n v="43686118"/>
    <n v="43686118"/>
    <n v="43686118"/>
    <n v="0"/>
    <n v="0"/>
    <x v="13"/>
    <s v="C"/>
  </r>
  <r>
    <s v="2024-03-13 14:34:12"/>
    <n v="2024"/>
    <s v="Actual"/>
    <s v="03-01-01-055"/>
    <s v="DNP NUEVA POLÍTICA DE LOGÍSTICA NACIONAL"/>
    <s v="1308"/>
    <x v="21"/>
    <s v="C-0301-1000-29-52104E-0301027-02-5"/>
    <s v="GESTIÓN DEL PROGRAMA"/>
    <s v="Nación"/>
    <s v="14"/>
    <s v="PRESTAMOS DESTINACIÓN ESPECIFICA"/>
    <s v="CSF"/>
    <n v="142800000"/>
    <n v="0"/>
    <n v="142800000"/>
    <m/>
    <n v="0"/>
    <n v="0"/>
    <n v="0"/>
    <n v="0"/>
    <n v="0"/>
    <x v="13"/>
    <s v="C"/>
  </r>
  <r>
    <s v="2024-03-13 14:34:12"/>
    <n v="2024"/>
    <s v="Actual"/>
    <s v="03-01-01-056"/>
    <s v="DNP CONSOLIDACIÓN DE ESQUEMAS DE PARTICIPACION PRIVADA (CEPP)"/>
    <s v="1201"/>
    <x v="8"/>
    <s v="C-0301-1000-30-52104e-0301002-02-2"/>
    <s v="FORTALECIMIENTO DE ENTIDADES PÚBLICAS POTENCIALMENTE CONCEDENTES"/>
    <s v="Nación"/>
    <s v="14"/>
    <s v="PRESTAMOS DESTINACIÓN ESPECIFICA"/>
    <s v="CSF"/>
    <n v="1870376600"/>
    <n v="461815200"/>
    <n v="1408561400"/>
    <n v="461815200"/>
    <n v="0"/>
    <n v="0"/>
    <n v="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02-02-3"/>
    <s v="FORTALECIMIENTO TÉCNICO E INSTITUCIONAL DEL ORGANISMO EJECUTOR"/>
    <s v="Nación"/>
    <s v="14"/>
    <s v="PRESTAMOS DESTINACIÓN ESPECIFICA"/>
    <s v="CSF"/>
    <n v="770860213"/>
    <n v="770860213"/>
    <n v="0"/>
    <n v="762532276"/>
    <n v="108926321"/>
    <n v="108926321"/>
    <n v="108926321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02-02-4"/>
    <s v="GESTIÓN Y ADMINISTRACION DEL PROGRAMA"/>
    <s v="Nación"/>
    <s v="14"/>
    <s v="PRESTAMOS DESTINACIÓN ESPECIFICA"/>
    <s v="CSF"/>
    <n v="357000000"/>
    <n v="0"/>
    <n v="357000000"/>
    <m/>
    <n v="0"/>
    <n v="0"/>
    <n v="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03-02-4"/>
    <s v="GESTIÓN Y ADMINISTRACION DEL PROGRAMA"/>
    <s v="Nación"/>
    <s v="14"/>
    <s v="PRESTAMOS DESTINACIÓN ESPECIFICA"/>
    <s v="CSF"/>
    <n v="86238788"/>
    <n v="86238788"/>
    <n v="0"/>
    <n v="86238788"/>
    <n v="0"/>
    <n v="0"/>
    <n v="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12-02-2"/>
    <s v="FORTALECIMIENTO DE ENTIDADES PÚBLICAS POTENCIALMENTE CONCEDENTES"/>
    <s v="Nación"/>
    <s v="14"/>
    <s v="PRESTAMOS DESTINACIÓN ESPECIFICA"/>
    <s v="CSF"/>
    <n v="374000000"/>
    <n v="0"/>
    <n v="374000000"/>
    <m/>
    <n v="0"/>
    <n v="0"/>
    <n v="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12-02-3"/>
    <s v="FORTALECIMIENTO TÉCNICO E INSTITUCIONAL DEL ORGANISMO EJECUTOR"/>
    <s v="Nación"/>
    <s v="14"/>
    <s v="PRESTAMOS DESTINACIÓN ESPECIFICA"/>
    <s v="CSF"/>
    <n v="700686109"/>
    <n v="241915091"/>
    <n v="458771018"/>
    <n v="238526926"/>
    <n v="34559300"/>
    <n v="34559300"/>
    <n v="3455930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31-02-1"/>
    <s v="FOMENTO DE LA PARTICIPACIÓN PRIVADA"/>
    <s v="Nación"/>
    <s v="14"/>
    <s v="PRESTAMOS DESTINACIÓN ESPECIFICA"/>
    <s v="CSF"/>
    <n v="9675009296"/>
    <n v="6320659296"/>
    <n v="3354350000"/>
    <n v="6320659296"/>
    <n v="0"/>
    <n v="0"/>
    <n v="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31-02-3"/>
    <s v="FORTALECIMIENTO TÉCNICO E INSTITUCIONAL DEL ORGANISMO EJECUTOR"/>
    <s v="Nación"/>
    <s v="14"/>
    <s v="PRESTAMOS DESTINACIÓN ESPECIFICA"/>
    <s v="CSF"/>
    <n v="681532403"/>
    <n v="577294575"/>
    <n v="104237828"/>
    <n v="570830170"/>
    <n v="72709970"/>
    <n v="72709970"/>
    <n v="72709970"/>
    <n v="0"/>
    <n v="0"/>
    <x v="14"/>
    <s v="C"/>
  </r>
  <r>
    <s v="2024-03-13 14:34:12"/>
    <n v="2024"/>
    <s v="Actual"/>
    <s v="03-01-01-056"/>
    <s v="DNP CONSOLIDACIÓN DE ESQUEMAS DE PARTICIPACION PRIVADA (CEPP)"/>
    <s v="1201"/>
    <x v="8"/>
    <s v="C-0301-1000-30-52104e-0301031-02-4"/>
    <s v="GESTIÓN Y ADMINISTRACION DEL PROGRAMA"/>
    <s v="Nación"/>
    <s v="14"/>
    <s v="PRESTAMOS DESTINACIÓN ESPECIFICA"/>
    <s v="CSF"/>
    <n v="287468291"/>
    <n v="287468291"/>
    <n v="0"/>
    <n v="284247359"/>
    <n v="42677359"/>
    <n v="42677359"/>
    <n v="42677359"/>
    <n v="0"/>
    <n v="0"/>
    <x v="14"/>
    <s v="C"/>
  </r>
  <r>
    <s v="2024-03-13 14:34:12"/>
    <n v="2024"/>
    <s v="Actual"/>
    <s v="03-01-01-056"/>
    <s v="DNP CONSOLIDACIÓN DE ESQUEMAS DE PARTICIPACION PRIVADA (CEPP)"/>
    <s v="1305"/>
    <x v="30"/>
    <s v="C-0301-1000-30-52104e-0301003-02-4"/>
    <s v="GESTIÓN Y ADMINISTRACION DEL PROGRAMA"/>
    <s v="Nación"/>
    <s v="14"/>
    <s v="PRESTAMOS DESTINACIÓN ESPECIFICA"/>
    <s v="CSF"/>
    <n v="383049109"/>
    <n v="383049109"/>
    <n v="0"/>
    <n v="378087618"/>
    <n v="55794274"/>
    <n v="55794274"/>
    <n v="55794274"/>
    <n v="0"/>
    <n v="0"/>
    <x v="14"/>
    <s v="C"/>
  </r>
  <r>
    <s v="2024-03-13 14:34:12"/>
    <n v="2024"/>
    <s v="Actual"/>
    <s v="03-01-01-056"/>
    <s v="DNP CONSOLIDACIÓN DE ESQUEMAS DE PARTICIPACION PRIVADA (CEPP)"/>
    <s v="1308"/>
    <x v="21"/>
    <s v="C-0301-1000-30-52104e-0301003-02-4"/>
    <s v="GESTIÓN Y ADMINISTRACION DEL PROGRAMA"/>
    <s v="Nación"/>
    <s v="14"/>
    <s v="PRESTAMOS DESTINACIÓN ESPECIFICA"/>
    <s v="CSF"/>
    <n v="417309191"/>
    <n v="416797500"/>
    <n v="511691"/>
    <n v="234650859"/>
    <n v="15288859"/>
    <n v="15288859"/>
    <n v="15288859"/>
    <n v="0"/>
    <n v="0"/>
    <x v="14"/>
    <s v="C"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  <r>
    <m/>
    <m/>
    <m/>
    <m/>
    <m/>
    <m/>
    <x v="31"/>
    <m/>
    <m/>
    <m/>
    <m/>
    <m/>
    <m/>
    <m/>
    <m/>
    <m/>
    <m/>
    <m/>
    <m/>
    <m/>
    <m/>
    <m/>
    <x v="1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R37" firstHeaderRow="1" firstDataRow="2" firstDataCol="1"/>
  <pivotFields count="24">
    <pivotField showAll="0"/>
    <pivotField numFmtId="1" showAll="0"/>
    <pivotField showAll="0"/>
    <pivotField showAll="0"/>
    <pivotField showAll="0"/>
    <pivotField showAll="0"/>
    <pivotField axis="axisRow" showAll="0">
      <items count="33">
        <item x="9"/>
        <item x="12"/>
        <item x="11"/>
        <item x="16"/>
        <item x="23"/>
        <item x="17"/>
        <item x="25"/>
        <item x="13"/>
        <item x="10"/>
        <item x="15"/>
        <item x="14"/>
        <item x="24"/>
        <item x="28"/>
        <item x="27"/>
        <item x="29"/>
        <item x="1"/>
        <item x="0"/>
        <item x="6"/>
        <item x="4"/>
        <item x="7"/>
        <item x="2"/>
        <item x="5"/>
        <item x="3"/>
        <item x="18"/>
        <item x="19"/>
        <item x="21"/>
        <item x="20"/>
        <item x="30"/>
        <item x="22"/>
        <item x="26"/>
        <item x="8"/>
        <item x="31"/>
        <item t="default"/>
      </items>
    </pivotField>
    <pivotField showAll="0"/>
    <pivotField showAll="0"/>
    <pivotField showAll="0"/>
    <pivotField showAll="0"/>
    <pivotField showAll="0"/>
    <pivotField showAll="0"/>
    <pivotField dataField="1"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axis="axisCol" showAll="0">
      <items count="25">
        <item x="2"/>
        <item x="1"/>
        <item x="12"/>
        <item m="1" x="20"/>
        <item m="1" x="17"/>
        <item x="13"/>
        <item x="14"/>
        <item x="0"/>
        <item x="6"/>
        <item x="9"/>
        <item x="3"/>
        <item m="1" x="18"/>
        <item m="1" x="21"/>
        <item x="11"/>
        <item m="1" x="22"/>
        <item m="1" x="16"/>
        <item x="8"/>
        <item x="5"/>
        <item m="1" x="19"/>
        <item m="1" x="23"/>
        <item x="4"/>
        <item x="7"/>
        <item x="10"/>
        <item x="15"/>
        <item t="default"/>
      </items>
    </pivotField>
    <pivotField showAll="0"/>
  </pivotFields>
  <rowFields count="1">
    <field x="6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22"/>
  </colFields>
  <colItems count="17">
    <i>
      <x/>
    </i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3"/>
    </i>
    <i>
      <x v="16"/>
    </i>
    <i>
      <x v="17"/>
    </i>
    <i>
      <x v="20"/>
    </i>
    <i>
      <x v="21"/>
    </i>
    <i>
      <x v="22"/>
    </i>
    <i>
      <x v="23"/>
    </i>
    <i t="grand">
      <x/>
    </i>
  </colItems>
  <dataFields count="1">
    <dataField name="Suma de APR, VIGENTE" fld="13" baseField="0" baseItem="0" numFmtId="164"/>
  </dataFields>
  <formats count="29">
    <format dxfId="69">
      <pivotArea field="22" grandRow="1" outline="0" collapsedLevelsAreSubtotals="1" axis="axisCol" fieldPosition="0">
        <references count="1">
          <reference field="22" count="1" selected="0">
            <x v="0"/>
          </reference>
        </references>
      </pivotArea>
    </format>
    <format dxfId="68">
      <pivotArea field="22" grandRow="1" outline="0" collapsedLevelsAreSubtotals="1" axis="axisCol" fieldPosition="0">
        <references count="1">
          <reference field="22" count="1" selected="0">
            <x v="1"/>
          </reference>
        </references>
      </pivotArea>
    </format>
    <format dxfId="67">
      <pivotArea field="22" grandRow="1" outline="0" collapsedLevelsAreSubtotals="1" axis="axisCol" fieldPosition="0">
        <references count="1">
          <reference field="22" count="1" selected="0">
            <x v="2"/>
          </reference>
        </references>
      </pivotArea>
    </format>
    <format dxfId="66">
      <pivotArea field="22" grandRow="1" outline="0" collapsedLevelsAreSubtotals="1" axis="axisCol" fieldPosition="0">
        <references count="1">
          <reference field="22" count="1" selected="0">
            <x v="3"/>
          </reference>
        </references>
      </pivotArea>
    </format>
    <format dxfId="65">
      <pivotArea field="22" grandRow="1" outline="0" collapsedLevelsAreSubtotals="1" axis="axisCol" fieldPosition="0">
        <references count="1">
          <reference field="22" count="1" selected="0">
            <x v="4"/>
          </reference>
        </references>
      </pivotArea>
    </format>
    <format dxfId="64">
      <pivotArea field="22" grandRow="1" outline="0" collapsedLevelsAreSubtotals="1" axis="axisCol" fieldPosition="0">
        <references count="1">
          <reference field="22" count="1" selected="0">
            <x v="5"/>
          </reference>
        </references>
      </pivotArea>
    </format>
    <format dxfId="63">
      <pivotArea field="22" grandRow="1" outline="0" collapsedLevelsAreSubtotals="1" axis="axisCol" fieldPosition="0">
        <references count="1">
          <reference field="22" count="1" selected="0">
            <x v="6"/>
          </reference>
        </references>
      </pivotArea>
    </format>
    <format dxfId="62">
      <pivotArea field="22" grandRow="1" outline="0" collapsedLevelsAreSubtotals="1" axis="axisCol" fieldPosition="0">
        <references count="1">
          <reference field="22" count="1" selected="0">
            <x v="7"/>
          </reference>
        </references>
      </pivotArea>
    </format>
    <format dxfId="61">
      <pivotArea field="22" grandRow="1" outline="0" collapsedLevelsAreSubtotals="1" axis="axisCol" fieldPosition="0">
        <references count="1">
          <reference field="22" count="1" selected="0">
            <x v="8"/>
          </reference>
        </references>
      </pivotArea>
    </format>
    <format dxfId="60">
      <pivotArea field="22" grandRow="1" outline="0" collapsedLevelsAreSubtotals="1" axis="axisCol" fieldPosition="0">
        <references count="1">
          <reference field="22" count="1" selected="0">
            <x v="9"/>
          </reference>
        </references>
      </pivotArea>
    </format>
    <format dxfId="59">
      <pivotArea field="22" grandRow="1" outline="0" collapsedLevelsAreSubtotals="1" axis="axisCol" fieldPosition="0">
        <references count="1">
          <reference field="22" count="1" selected="0">
            <x v="10"/>
          </reference>
        </references>
      </pivotArea>
    </format>
    <format dxfId="58">
      <pivotArea field="22" grandRow="1" outline="0" collapsedLevelsAreSubtotals="1" axis="axisCol" fieldPosition="0">
        <references count="1">
          <reference field="22" count="1" selected="0">
            <x v="11"/>
          </reference>
        </references>
      </pivotArea>
    </format>
    <format dxfId="57">
      <pivotArea field="22" grandRow="1" outline="0" collapsedLevelsAreSubtotals="1" axis="axisCol" fieldPosition="0">
        <references count="1">
          <reference field="22" count="1" selected="0">
            <x v="12"/>
          </reference>
        </references>
      </pivotArea>
    </format>
    <format dxfId="56">
      <pivotArea field="22" grandRow="1" outline="0" collapsedLevelsAreSubtotals="1" axis="axisCol" fieldPosition="0">
        <references count="1">
          <reference field="22" count="1" selected="0">
            <x v="13"/>
          </reference>
        </references>
      </pivotArea>
    </format>
    <format dxfId="55">
      <pivotArea field="22" grandRow="1" outline="0" collapsedLevelsAreSubtotals="1" axis="axisCol" fieldPosition="0">
        <references count="1">
          <reference field="22" count="1" selected="0">
            <x v="14"/>
          </reference>
        </references>
      </pivotArea>
    </format>
    <format dxfId="54">
      <pivotArea field="22" grandRow="1" outline="0" collapsedLevelsAreSubtotals="1" axis="axisCol" fieldPosition="0">
        <references count="1">
          <reference field="22" count="1" selected="0">
            <x v="15"/>
          </reference>
        </references>
      </pivotArea>
    </format>
    <format dxfId="53">
      <pivotArea field="22" grandRow="1" outline="0" collapsedLevelsAreSubtotals="1" axis="axisCol" fieldPosition="0">
        <references count="1">
          <reference field="22" count="1" selected="0">
            <x v="16"/>
          </reference>
        </references>
      </pivotArea>
    </format>
    <format dxfId="52">
      <pivotArea field="22" grandRow="1" outline="0" collapsedLevelsAreSubtotals="1" axis="axisCol" fieldPosition="0">
        <references count="1">
          <reference field="22" count="1" selected="0">
            <x v="17"/>
          </reference>
        </references>
      </pivotArea>
    </format>
    <format dxfId="51">
      <pivotArea outline="0" collapsedLevelsAreSubtotals="1" fieldPosition="0"/>
    </format>
    <format dxfId="50">
      <pivotArea dataOnly="0" labelOnly="1" fieldPosition="0">
        <references count="1">
          <reference field="22" count="0"/>
        </references>
      </pivotArea>
    </format>
    <format dxfId="49">
      <pivotArea dataOnly="0" labelOnly="1" grandCol="1" outline="0" fieldPosition="0"/>
    </format>
    <format dxfId="48">
      <pivotArea dataOnly="0" fieldPosition="0">
        <references count="1">
          <reference field="6" count="1">
            <x v="23"/>
          </reference>
        </references>
      </pivotArea>
    </format>
    <format dxfId="47">
      <pivotArea collapsedLevelsAreSubtotals="1" fieldPosition="0">
        <references count="1">
          <reference field="6" count="0"/>
        </references>
      </pivotArea>
    </format>
    <format dxfId="46">
      <pivotArea collapsedLevelsAreSubtotals="1" fieldPosition="0">
        <references count="1">
          <reference field="6" count="1">
            <x v="30"/>
          </reference>
        </references>
      </pivotArea>
    </format>
    <format dxfId="45">
      <pivotArea collapsedLevelsAreSubtotals="1" fieldPosition="0">
        <references count="2">
          <reference field="6" count="1">
            <x v="24"/>
          </reference>
          <reference field="22" count="1" selected="0">
            <x v="1"/>
          </reference>
        </references>
      </pivotArea>
    </format>
    <format dxfId="44">
      <pivotArea collapsedLevelsAreSubtotals="1" fieldPosition="0">
        <references count="1">
          <reference field="6" count="0"/>
        </references>
      </pivotArea>
    </format>
    <format dxfId="43">
      <pivotArea dataOnly="0" labelOnly="1" fieldPosition="0">
        <references count="1">
          <reference field="6" count="0"/>
        </references>
      </pivotArea>
    </format>
    <format dxfId="42">
      <pivotArea collapsedLevelsAreSubtotals="1" fieldPosition="0">
        <references count="1">
          <reference field="6" count="27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41">
      <pivotArea dataOnly="0" labelOnly="1" fieldPosition="0">
        <references count="1">
          <reference field="6" count="27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R37" firstHeaderRow="1" firstDataRow="2" firstDataCol="1"/>
  <pivotFields count="24">
    <pivotField showAll="0"/>
    <pivotField numFmtId="1" showAll="0"/>
    <pivotField showAll="0"/>
    <pivotField showAll="0"/>
    <pivotField showAll="0"/>
    <pivotField showAll="0"/>
    <pivotField axis="axisRow" showAll="0">
      <items count="33">
        <item x="9"/>
        <item x="12"/>
        <item x="11"/>
        <item x="16"/>
        <item x="23"/>
        <item x="17"/>
        <item x="25"/>
        <item x="13"/>
        <item x="10"/>
        <item x="15"/>
        <item x="14"/>
        <item x="24"/>
        <item x="28"/>
        <item x="27"/>
        <item x="29"/>
        <item x="1"/>
        <item x="0"/>
        <item x="6"/>
        <item x="4"/>
        <item x="7"/>
        <item x="2"/>
        <item x="5"/>
        <item x="3"/>
        <item x="18"/>
        <item x="19"/>
        <item x="21"/>
        <item x="20"/>
        <item x="30"/>
        <item x="22"/>
        <item x="26"/>
        <item x="8"/>
        <item x="31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dataField="1" showAll="0"/>
    <pivotField numFmtId="164" showAll="0"/>
    <pivotField numFmtId="164" showAll="0"/>
    <pivotField numFmtId="164" showAll="0"/>
    <pivotField numFmtId="164" showAll="0"/>
    <pivotField numFmtId="164" showAll="0"/>
    <pivotField axis="axisCol" showAll="0">
      <items count="25">
        <item x="2"/>
        <item x="1"/>
        <item x="12"/>
        <item m="1" x="20"/>
        <item m="1" x="17"/>
        <item x="13"/>
        <item x="14"/>
        <item x="0"/>
        <item x="6"/>
        <item x="9"/>
        <item x="3"/>
        <item m="1" x="18"/>
        <item m="1" x="21"/>
        <item x="11"/>
        <item m="1" x="22"/>
        <item m="1" x="16"/>
        <item x="8"/>
        <item x="5"/>
        <item m="1" x="19"/>
        <item m="1" x="23"/>
        <item x="4"/>
        <item x="7"/>
        <item x="10"/>
        <item x="15"/>
        <item t="default"/>
      </items>
    </pivotField>
    <pivotField showAll="0"/>
  </pivotFields>
  <rowFields count="1">
    <field x="6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22"/>
  </colFields>
  <colItems count="17">
    <i>
      <x/>
    </i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3"/>
    </i>
    <i>
      <x v="16"/>
    </i>
    <i>
      <x v="17"/>
    </i>
    <i>
      <x v="20"/>
    </i>
    <i>
      <x v="21"/>
    </i>
    <i>
      <x v="22"/>
    </i>
    <i>
      <x v="23"/>
    </i>
    <i t="grand">
      <x/>
    </i>
  </colItems>
  <dataFields count="1">
    <dataField name="Suma de COMPROMISO" fld="16" baseField="6" baseItem="0" numFmtId="164"/>
  </dataFields>
  <formats count="21">
    <format dxfId="40">
      <pivotArea outline="0" collapsedLevelsAreSubtotals="1" fieldPosition="0"/>
    </format>
    <format dxfId="39">
      <pivotArea dataOnly="0" labelOnly="1" fieldPosition="0">
        <references count="1">
          <reference field="22" count="0"/>
        </references>
      </pivotArea>
    </format>
    <format dxfId="38">
      <pivotArea dataOnly="0" labelOnly="1" grandCol="1" outline="0" fieldPosition="0"/>
    </format>
    <format dxfId="37">
      <pivotArea collapsedLevelsAreSubtotals="1" fieldPosition="0">
        <references count="1">
          <reference field="6" count="0"/>
        </references>
      </pivotArea>
    </format>
    <format dxfId="36">
      <pivotArea dataOnly="0" labelOnly="1" fieldPosition="0">
        <references count="1">
          <reference field="6" count="0"/>
        </references>
      </pivotArea>
    </format>
    <format dxfId="35">
      <pivotArea collapsedLevelsAreSubtotals="1" fieldPosition="0">
        <references count="1">
          <reference field="6" count="1">
            <x v="4"/>
          </reference>
        </references>
      </pivotArea>
    </format>
    <format dxfId="34">
      <pivotArea dataOnly="0" labelOnly="1" fieldPosition="0">
        <references count="1">
          <reference field="6" count="1">
            <x v="4"/>
          </reference>
        </references>
      </pivotArea>
    </format>
    <format dxfId="33">
      <pivotArea collapsedLevelsAreSubtotals="1" fieldPosition="0">
        <references count="1">
          <reference field="6" count="1">
            <x v="6"/>
          </reference>
        </references>
      </pivotArea>
    </format>
    <format dxfId="32">
      <pivotArea dataOnly="0" labelOnly="1" fieldPosition="0">
        <references count="1">
          <reference field="6" count="1">
            <x v="6"/>
          </reference>
        </references>
      </pivotArea>
    </format>
    <format dxfId="31">
      <pivotArea collapsedLevelsAreSubtotals="1" fieldPosition="0">
        <references count="1">
          <reference field="6" count="1">
            <x v="11"/>
          </reference>
        </references>
      </pivotArea>
    </format>
    <format dxfId="30">
      <pivotArea dataOnly="0" labelOnly="1" fieldPosition="0">
        <references count="1">
          <reference field="6" count="1">
            <x v="11"/>
          </reference>
        </references>
      </pivotArea>
    </format>
    <format dxfId="29">
      <pivotArea collapsedLevelsAreSubtotals="1" fieldPosition="0">
        <references count="1">
          <reference field="6" count="1">
            <x v="28"/>
          </reference>
        </references>
      </pivotArea>
    </format>
    <format dxfId="28">
      <pivotArea dataOnly="0" labelOnly="1" fieldPosition="0">
        <references count="1">
          <reference field="6" count="1">
            <x v="28"/>
          </reference>
        </references>
      </pivotArea>
    </format>
    <format dxfId="27">
      <pivotArea collapsedLevelsAreSubtotals="1" fieldPosition="0">
        <references count="1">
          <reference field="6" count="1">
            <x v="29"/>
          </reference>
        </references>
      </pivotArea>
    </format>
    <format dxfId="26">
      <pivotArea dataOnly="0" labelOnly="1" fieldPosition="0">
        <references count="1">
          <reference field="6" count="1">
            <x v="29"/>
          </reference>
        </references>
      </pivotArea>
    </format>
    <format dxfId="25">
      <pivotArea collapsedLevelsAreSubtotals="1" fieldPosition="0">
        <references count="1">
          <reference field="6" count="3">
            <x v="12"/>
            <x v="13"/>
            <x v="14"/>
          </reference>
        </references>
      </pivotArea>
    </format>
    <format dxfId="24">
      <pivotArea dataOnly="0" labelOnly="1" fieldPosition="0">
        <references count="1">
          <reference field="6" count="3">
            <x v="12"/>
            <x v="13"/>
            <x v="14"/>
          </reference>
        </references>
      </pivotArea>
    </format>
    <format dxfId="23">
      <pivotArea collapsedLevelsAreSubtotals="1" fieldPosition="0">
        <references count="1">
          <reference field="6" count="1">
            <x v="10"/>
          </reference>
        </references>
      </pivotArea>
    </format>
    <format dxfId="22">
      <pivotArea dataOnly="0" labelOnly="1" fieldPosition="0">
        <references count="1">
          <reference field="6" count="1">
            <x v="10"/>
          </reference>
        </references>
      </pivotArea>
    </format>
    <format dxfId="21">
      <pivotArea collapsedLevelsAreSubtotals="1" fieldPosition="0">
        <references count="1">
          <reference field="6" count="1">
            <x v="10"/>
          </reference>
        </references>
      </pivotArea>
    </format>
    <format dxfId="20">
      <pivotArea dataOnly="0" labelOnly="1" fieldPosition="0">
        <references count="1">
          <reference field="6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 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R37" firstHeaderRow="1" firstDataRow="2" firstDataCol="1"/>
  <pivotFields count="24">
    <pivotField showAll="0"/>
    <pivotField numFmtId="1" showAll="0"/>
    <pivotField showAll="0"/>
    <pivotField showAll="0"/>
    <pivotField showAll="0"/>
    <pivotField showAll="0"/>
    <pivotField axis="axisRow" showAll="0">
      <items count="33">
        <item x="9"/>
        <item x="12"/>
        <item x="11"/>
        <item x="16"/>
        <item x="23"/>
        <item x="17"/>
        <item x="25"/>
        <item x="13"/>
        <item x="10"/>
        <item x="15"/>
        <item x="14"/>
        <item x="24"/>
        <item x="28"/>
        <item x="27"/>
        <item x="29"/>
        <item x="1"/>
        <item x="0"/>
        <item x="6"/>
        <item x="4"/>
        <item x="7"/>
        <item x="2"/>
        <item x="5"/>
        <item x="3"/>
        <item x="18"/>
        <item x="19"/>
        <item x="21"/>
        <item x="20"/>
        <item x="30"/>
        <item x="22"/>
        <item x="26"/>
        <item x="8"/>
        <item x="31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showAll="0"/>
    <pivotField dataField="1" numFmtId="164" showAll="0"/>
    <pivotField numFmtId="164" showAll="0"/>
    <pivotField numFmtId="164" showAll="0"/>
    <pivotField numFmtId="164" showAll="0"/>
    <pivotField numFmtId="164" showAll="0"/>
    <pivotField axis="axisCol" showAll="0">
      <items count="25">
        <item x="2"/>
        <item x="1"/>
        <item x="12"/>
        <item m="1" x="20"/>
        <item m="1" x="17"/>
        <item x="13"/>
        <item x="14"/>
        <item x="0"/>
        <item x="6"/>
        <item x="9"/>
        <item x="3"/>
        <item m="1" x="18"/>
        <item m="1" x="21"/>
        <item x="11"/>
        <item m="1" x="22"/>
        <item m="1" x="16"/>
        <item x="8"/>
        <item x="5"/>
        <item m="1" x="19"/>
        <item m="1" x="23"/>
        <item x="4"/>
        <item x="7"/>
        <item x="10"/>
        <item x="15"/>
        <item t="default"/>
      </items>
    </pivotField>
    <pivotField showAll="0"/>
  </pivotFields>
  <rowFields count="1">
    <field x="6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22"/>
  </colFields>
  <colItems count="17">
    <i>
      <x/>
    </i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3"/>
    </i>
    <i>
      <x v="16"/>
    </i>
    <i>
      <x v="17"/>
    </i>
    <i>
      <x v="20"/>
    </i>
    <i>
      <x v="21"/>
    </i>
    <i>
      <x v="22"/>
    </i>
    <i>
      <x v="23"/>
    </i>
    <i t="grand">
      <x/>
    </i>
  </colItems>
  <dataFields count="1">
    <dataField name="Suma de OBLIGACION" fld="17" baseField="0" baseItem="0"/>
  </dataFields>
  <formats count="20">
    <format dxfId="19">
      <pivotArea collapsedLevelsAreSubtotals="1" fieldPosition="0">
        <references count="2">
          <reference field="6" count="5">
            <x v="23"/>
            <x v="24"/>
            <x v="25"/>
            <x v="26"/>
            <x v="27"/>
          </reference>
          <reference field="22" count="1" selected="0">
            <x v="15"/>
          </reference>
        </references>
      </pivotArea>
    </format>
    <format dxfId="18">
      <pivotArea collapsedLevelsAreSubtotals="1" fieldPosition="0">
        <references count="1">
          <reference field="6" count="0"/>
        </references>
      </pivotArea>
    </format>
    <format dxfId="17">
      <pivotArea collapsedLevelsAreSubtotals="1" fieldPosition="0">
        <references count="1">
          <reference field="6" count="0"/>
        </references>
      </pivotArea>
    </format>
    <format dxfId="16">
      <pivotArea dataOnly="0" labelOnly="1" fieldPosition="0">
        <references count="1">
          <reference field="6" count="0"/>
        </references>
      </pivotArea>
    </format>
    <format dxfId="15">
      <pivotArea collapsedLevelsAreSubtotals="1" fieldPosition="0">
        <references count="1">
          <reference field="6" count="1">
            <x v="6"/>
          </reference>
        </references>
      </pivotArea>
    </format>
    <format dxfId="14">
      <pivotArea dataOnly="0" labelOnly="1" fieldPosition="0">
        <references count="1">
          <reference field="6" count="1">
            <x v="6"/>
          </reference>
        </references>
      </pivotArea>
    </format>
    <format dxfId="13">
      <pivotArea collapsedLevelsAreSubtotals="1" fieldPosition="0">
        <references count="1">
          <reference field="6" count="1">
            <x v="11"/>
          </reference>
        </references>
      </pivotArea>
    </format>
    <format dxfId="12">
      <pivotArea dataOnly="0" labelOnly="1" fieldPosition="0">
        <references count="1">
          <reference field="6" count="1">
            <x v="11"/>
          </reference>
        </references>
      </pivotArea>
    </format>
    <format dxfId="11">
      <pivotArea collapsedLevelsAreSubtotals="1" fieldPosition="0">
        <references count="1">
          <reference field="6" count="1">
            <x v="4"/>
          </reference>
        </references>
      </pivotArea>
    </format>
    <format dxfId="10">
      <pivotArea dataOnly="0" labelOnly="1" fieldPosition="0">
        <references count="1">
          <reference field="6" count="1">
            <x v="4"/>
          </reference>
        </references>
      </pivotArea>
    </format>
    <format dxfId="9">
      <pivotArea collapsedLevelsAreSubtotals="1" fieldPosition="0">
        <references count="1">
          <reference field="6" count="1">
            <x v="28"/>
          </reference>
        </references>
      </pivotArea>
    </format>
    <format dxfId="8">
      <pivotArea dataOnly="0" labelOnly="1" fieldPosition="0">
        <references count="1">
          <reference field="6" count="1">
            <x v="28"/>
          </reference>
        </references>
      </pivotArea>
    </format>
    <format dxfId="7">
      <pivotArea collapsedLevelsAreSubtotals="1" fieldPosition="0">
        <references count="1">
          <reference field="6" count="1">
            <x v="29"/>
          </reference>
        </references>
      </pivotArea>
    </format>
    <format dxfId="6">
      <pivotArea dataOnly="0" labelOnly="1" fieldPosition="0">
        <references count="1">
          <reference field="6" count="1">
            <x v="29"/>
          </reference>
        </references>
      </pivotArea>
    </format>
    <format dxfId="5">
      <pivotArea collapsedLevelsAreSubtotals="1" fieldPosition="0">
        <references count="1">
          <reference field="6" count="3">
            <x v="12"/>
            <x v="13"/>
            <x v="14"/>
          </reference>
        </references>
      </pivotArea>
    </format>
    <format dxfId="4">
      <pivotArea dataOnly="0" labelOnly="1" fieldPosition="0">
        <references count="1">
          <reference field="6" count="3">
            <x v="12"/>
            <x v="13"/>
            <x v="14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collapsedLevelsAreSubtotals="1" fieldPosition="0">
        <references count="1">
          <reference field="6" count="1">
            <x v="10"/>
          </reference>
        </references>
      </pivotArea>
    </format>
    <format dxfId="0">
      <pivotArea dataOnly="0" labelOnly="1" fieldPosition="0">
        <references count="1">
          <reference field="6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showGridLines="0" topLeftCell="Q1" workbookViewId="0">
      <pane ySplit="4" topLeftCell="A27" activePane="bottomLeft" state="frozen"/>
      <selection pane="bottomLeft" activeCell="S45" sqref="S45"/>
    </sheetView>
  </sheetViews>
  <sheetFormatPr baseColWidth="10" defaultColWidth="11.44140625" defaultRowHeight="14.4"/>
  <cols>
    <col min="1" max="1" width="13.44140625" style="10" customWidth="1"/>
    <col min="2" max="2" width="27" style="10" customWidth="1"/>
    <col min="3" max="3" width="21.5546875" style="10" customWidth="1"/>
    <col min="4" max="11" width="5.44140625" style="10" customWidth="1"/>
    <col min="12" max="12" width="7" style="10" customWidth="1"/>
    <col min="13" max="13" width="9.5546875" style="10" customWidth="1"/>
    <col min="14" max="14" width="8" style="10" customWidth="1"/>
    <col min="15" max="15" width="9.5546875" style="10" customWidth="1"/>
    <col min="16" max="16" width="31.5546875" style="10" customWidth="1"/>
    <col min="17" max="17" width="21.6640625" style="10" customWidth="1"/>
    <col min="18" max="19" width="18.88671875" style="10" customWidth="1"/>
    <col min="20" max="20" width="21.33203125" style="10" customWidth="1"/>
    <col min="21" max="21" width="18.88671875" style="10" customWidth="1"/>
    <col min="22" max="22" width="21.33203125" style="10" customWidth="1"/>
    <col min="23" max="23" width="22.109375" style="10" customWidth="1"/>
    <col min="24" max="24" width="21.44140625" style="10" customWidth="1"/>
    <col min="25" max="25" width="24.33203125" style="10" customWidth="1"/>
    <col min="26" max="27" width="18.88671875" style="10" customWidth="1"/>
    <col min="28" max="28" width="16.44140625" style="10" customWidth="1"/>
    <col min="29" max="29" width="14.6640625" style="10" customWidth="1"/>
    <col min="30" max="30" width="16.44140625" style="10" customWidth="1"/>
    <col min="31" max="16384" width="11.44140625" style="10"/>
  </cols>
  <sheetData>
    <row r="1" spans="1:29">
      <c r="A1" s="8" t="s">
        <v>0</v>
      </c>
      <c r="B1" s="8">
        <v>2024</v>
      </c>
      <c r="C1" s="9" t="s">
        <v>1</v>
      </c>
      <c r="D1" s="9" t="s">
        <v>1</v>
      </c>
      <c r="E1" s="9" t="s">
        <v>1</v>
      </c>
      <c r="F1" s="9" t="s">
        <v>1</v>
      </c>
      <c r="G1" s="9" t="s">
        <v>1</v>
      </c>
      <c r="H1" s="9" t="s">
        <v>1</v>
      </c>
      <c r="I1" s="9" t="s">
        <v>1</v>
      </c>
      <c r="J1" s="9" t="s">
        <v>1</v>
      </c>
      <c r="K1" s="9" t="s">
        <v>1</v>
      </c>
      <c r="L1" s="9" t="s">
        <v>1</v>
      </c>
      <c r="M1" s="9" t="s">
        <v>1</v>
      </c>
      <c r="N1" s="9" t="s">
        <v>1</v>
      </c>
      <c r="O1" s="9" t="s">
        <v>1</v>
      </c>
      <c r="P1" s="9" t="s">
        <v>1</v>
      </c>
      <c r="Q1" s="9" t="s">
        <v>1</v>
      </c>
      <c r="R1" s="9" t="s">
        <v>1</v>
      </c>
      <c r="S1" s="9" t="s">
        <v>1</v>
      </c>
      <c r="T1" s="9" t="s">
        <v>1</v>
      </c>
      <c r="U1" s="9" t="s">
        <v>1</v>
      </c>
      <c r="V1" s="9" t="s">
        <v>1</v>
      </c>
      <c r="W1" s="9" t="s">
        <v>1</v>
      </c>
      <c r="X1" s="9" t="s">
        <v>1</v>
      </c>
      <c r="Y1" s="9" t="s">
        <v>1</v>
      </c>
      <c r="Z1" s="9" t="s">
        <v>1</v>
      </c>
      <c r="AA1" s="9" t="s">
        <v>1</v>
      </c>
    </row>
    <row r="2" spans="1:29">
      <c r="A2" s="8" t="s">
        <v>2</v>
      </c>
      <c r="B2" s="8" t="s">
        <v>3</v>
      </c>
      <c r="C2" s="9" t="s">
        <v>1</v>
      </c>
      <c r="D2" s="9" t="s">
        <v>1</v>
      </c>
      <c r="E2" s="9" t="s">
        <v>1</v>
      </c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  <c r="L2" s="9" t="s">
        <v>1</v>
      </c>
      <c r="M2" s="9" t="s">
        <v>1</v>
      </c>
      <c r="N2" s="9" t="s">
        <v>1</v>
      </c>
      <c r="O2" s="9" t="s">
        <v>1</v>
      </c>
      <c r="P2" s="9" t="s">
        <v>1</v>
      </c>
      <c r="Q2" s="9" t="s">
        <v>1</v>
      </c>
      <c r="R2" s="9" t="s">
        <v>1</v>
      </c>
      <c r="S2" s="9" t="s">
        <v>1</v>
      </c>
      <c r="T2" s="396"/>
      <c r="U2" s="397"/>
      <c r="V2" s="397"/>
      <c r="W2" s="9" t="s">
        <v>1</v>
      </c>
      <c r="X2" s="9" t="s">
        <v>1</v>
      </c>
      <c r="Y2" s="9" t="s">
        <v>1</v>
      </c>
      <c r="Z2" s="9" t="s">
        <v>1</v>
      </c>
      <c r="AA2" s="9" t="s">
        <v>1</v>
      </c>
    </row>
    <row r="3" spans="1:29">
      <c r="A3" s="8" t="s">
        <v>4</v>
      </c>
      <c r="B3" s="8" t="s">
        <v>5</v>
      </c>
      <c r="C3" s="9" t="s">
        <v>1</v>
      </c>
      <c r="D3" s="9" t="s">
        <v>1</v>
      </c>
      <c r="E3" s="9" t="s">
        <v>1</v>
      </c>
      <c r="F3" s="9" t="s">
        <v>1</v>
      </c>
      <c r="G3" s="9" t="s">
        <v>1</v>
      </c>
      <c r="H3" s="9" t="s">
        <v>1</v>
      </c>
      <c r="I3" s="9" t="s">
        <v>1</v>
      </c>
      <c r="J3" s="9" t="s">
        <v>1</v>
      </c>
      <c r="K3" s="9" t="s">
        <v>1</v>
      </c>
      <c r="L3" s="9" t="s">
        <v>1</v>
      </c>
      <c r="M3" s="9" t="s">
        <v>1</v>
      </c>
      <c r="N3" s="9" t="s">
        <v>1</v>
      </c>
      <c r="O3" s="9" t="s">
        <v>1</v>
      </c>
      <c r="P3" s="9" t="s">
        <v>1</v>
      </c>
      <c r="Q3" s="9" t="s">
        <v>1</v>
      </c>
      <c r="R3" s="9" t="s">
        <v>1</v>
      </c>
      <c r="S3" s="9" t="s">
        <v>1</v>
      </c>
      <c r="T3" s="9" t="s">
        <v>1</v>
      </c>
      <c r="U3" s="9" t="s">
        <v>1</v>
      </c>
      <c r="V3" s="9" t="s">
        <v>1</v>
      </c>
      <c r="W3" s="9" t="s">
        <v>1</v>
      </c>
      <c r="X3" s="9" t="s">
        <v>1</v>
      </c>
      <c r="Y3" s="9" t="s">
        <v>1</v>
      </c>
      <c r="Z3" s="9" t="s">
        <v>1</v>
      </c>
      <c r="AA3" s="9" t="s">
        <v>1</v>
      </c>
    </row>
    <row r="4" spans="1:29" ht="22.8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8" t="s">
        <v>26</v>
      </c>
      <c r="V4" s="8" t="s">
        <v>27</v>
      </c>
      <c r="W4" s="8" t="s">
        <v>28</v>
      </c>
      <c r="X4" s="8" t="s">
        <v>29</v>
      </c>
      <c r="Y4" s="8" t="s">
        <v>30</v>
      </c>
      <c r="Z4" s="8" t="s">
        <v>31</v>
      </c>
      <c r="AA4" s="430" t="s">
        <v>32</v>
      </c>
      <c r="AC4" s="436"/>
    </row>
    <row r="5" spans="1:29" ht="20.399999999999999">
      <c r="A5" s="11" t="s">
        <v>33</v>
      </c>
      <c r="B5" s="12" t="s">
        <v>34</v>
      </c>
      <c r="C5" s="13" t="s">
        <v>35</v>
      </c>
      <c r="D5" s="11" t="s">
        <v>36</v>
      </c>
      <c r="E5" s="11" t="s">
        <v>37</v>
      </c>
      <c r="F5" s="11" t="s">
        <v>37</v>
      </c>
      <c r="G5" s="11" t="s">
        <v>37</v>
      </c>
      <c r="H5" s="11"/>
      <c r="I5" s="11"/>
      <c r="J5" s="11"/>
      <c r="K5" s="11"/>
      <c r="L5" s="11"/>
      <c r="M5" s="11" t="s">
        <v>38</v>
      </c>
      <c r="N5" s="11" t="s">
        <v>39</v>
      </c>
      <c r="O5" s="11" t="s">
        <v>40</v>
      </c>
      <c r="P5" s="12" t="s">
        <v>41</v>
      </c>
      <c r="Q5" s="256">
        <v>50966500000</v>
      </c>
      <c r="R5" s="256">
        <v>0</v>
      </c>
      <c r="S5" s="256">
        <v>0</v>
      </c>
      <c r="T5" s="256">
        <v>50966500000</v>
      </c>
      <c r="U5" s="256">
        <v>0</v>
      </c>
      <c r="V5" s="256">
        <v>50966500000</v>
      </c>
      <c r="W5" s="256">
        <v>0</v>
      </c>
      <c r="X5" s="256">
        <v>5832585848.5</v>
      </c>
      <c r="Y5" s="256">
        <v>5831132897.5799999</v>
      </c>
      <c r="Z5" s="256">
        <v>5831132897.5799999</v>
      </c>
      <c r="AA5" s="431">
        <v>5798967138.5799999</v>
      </c>
    </row>
    <row r="6" spans="1:29" ht="20.399999999999999">
      <c r="A6" s="11" t="s">
        <v>33</v>
      </c>
      <c r="B6" s="12" t="s">
        <v>34</v>
      </c>
      <c r="C6" s="13" t="s">
        <v>42</v>
      </c>
      <c r="D6" s="11" t="s">
        <v>36</v>
      </c>
      <c r="E6" s="11" t="s">
        <v>37</v>
      </c>
      <c r="F6" s="11" t="s">
        <v>37</v>
      </c>
      <c r="G6" s="11" t="s">
        <v>43</v>
      </c>
      <c r="H6" s="11"/>
      <c r="I6" s="11"/>
      <c r="J6" s="11"/>
      <c r="K6" s="11"/>
      <c r="L6" s="11"/>
      <c r="M6" s="11" t="s">
        <v>38</v>
      </c>
      <c r="N6" s="11" t="s">
        <v>39</v>
      </c>
      <c r="O6" s="11" t="s">
        <v>40</v>
      </c>
      <c r="P6" s="12" t="s">
        <v>44</v>
      </c>
      <c r="Q6" s="256">
        <v>17561300000</v>
      </c>
      <c r="R6" s="256">
        <v>0</v>
      </c>
      <c r="S6" s="256">
        <v>0</v>
      </c>
      <c r="T6" s="256">
        <v>17561300000</v>
      </c>
      <c r="U6" s="256">
        <v>0</v>
      </c>
      <c r="V6" s="256">
        <v>17561300000</v>
      </c>
      <c r="W6" s="256">
        <v>0</v>
      </c>
      <c r="X6" s="256">
        <v>2874088823</v>
      </c>
      <c r="Y6" s="256">
        <v>2873914602</v>
      </c>
      <c r="Z6" s="256">
        <v>2873914602</v>
      </c>
      <c r="AA6" s="431">
        <v>2873914602</v>
      </c>
    </row>
    <row r="7" spans="1:29" ht="20.399999999999999">
      <c r="A7" s="11" t="s">
        <v>33</v>
      </c>
      <c r="B7" s="12" t="s">
        <v>34</v>
      </c>
      <c r="C7" s="13" t="s">
        <v>45</v>
      </c>
      <c r="D7" s="11" t="s">
        <v>36</v>
      </c>
      <c r="E7" s="11" t="s">
        <v>37</v>
      </c>
      <c r="F7" s="11" t="s">
        <v>37</v>
      </c>
      <c r="G7" s="11" t="s">
        <v>46</v>
      </c>
      <c r="H7" s="11"/>
      <c r="I7" s="11"/>
      <c r="J7" s="11"/>
      <c r="K7" s="11"/>
      <c r="L7" s="11"/>
      <c r="M7" s="11" t="s">
        <v>38</v>
      </c>
      <c r="N7" s="11" t="s">
        <v>39</v>
      </c>
      <c r="O7" s="11" t="s">
        <v>40</v>
      </c>
      <c r="P7" s="12" t="s">
        <v>47</v>
      </c>
      <c r="Q7" s="256">
        <v>6675600000</v>
      </c>
      <c r="R7" s="256">
        <v>0</v>
      </c>
      <c r="S7" s="256">
        <v>0</v>
      </c>
      <c r="T7" s="256">
        <v>6675600000</v>
      </c>
      <c r="U7" s="256">
        <v>0</v>
      </c>
      <c r="V7" s="256">
        <v>6675600000</v>
      </c>
      <c r="W7" s="256">
        <v>0</v>
      </c>
      <c r="X7" s="256">
        <v>637212133</v>
      </c>
      <c r="Y7" s="256">
        <v>636135550.91999996</v>
      </c>
      <c r="Z7" s="256">
        <v>636135550.91999996</v>
      </c>
      <c r="AA7" s="431">
        <v>615364917.91999996</v>
      </c>
    </row>
    <row r="8" spans="1:29" ht="20.399999999999999">
      <c r="A8" s="441" t="s">
        <v>33</v>
      </c>
      <c r="B8" s="442" t="s">
        <v>34</v>
      </c>
      <c r="C8" s="443" t="s">
        <v>48</v>
      </c>
      <c r="D8" s="441" t="s">
        <v>36</v>
      </c>
      <c r="E8" s="441" t="s">
        <v>43</v>
      </c>
      <c r="F8" s="441"/>
      <c r="G8" s="441"/>
      <c r="H8" s="441"/>
      <c r="I8" s="441"/>
      <c r="J8" s="441"/>
      <c r="K8" s="441"/>
      <c r="L8" s="441"/>
      <c r="M8" s="441" t="s">
        <v>38</v>
      </c>
      <c r="N8" s="441" t="s">
        <v>39</v>
      </c>
      <c r="O8" s="441" t="s">
        <v>40</v>
      </c>
      <c r="P8" s="442" t="s">
        <v>49</v>
      </c>
      <c r="Q8" s="444">
        <v>37872200000</v>
      </c>
      <c r="R8" s="444">
        <v>0</v>
      </c>
      <c r="S8" s="444">
        <v>0</v>
      </c>
      <c r="T8" s="444">
        <v>37872200000</v>
      </c>
      <c r="U8" s="444">
        <v>0</v>
      </c>
      <c r="V8" s="444">
        <v>32699774220.700001</v>
      </c>
      <c r="W8" s="444">
        <v>5172425779.3000002</v>
      </c>
      <c r="X8" s="444">
        <v>24148770508.360001</v>
      </c>
      <c r="Y8" s="444">
        <v>3049564002.25</v>
      </c>
      <c r="Z8" s="444">
        <v>2964503084.25</v>
      </c>
      <c r="AA8" s="445">
        <v>2725739098.25</v>
      </c>
    </row>
    <row r="9" spans="1:29" ht="20.399999999999999">
      <c r="A9" s="252" t="s">
        <v>33</v>
      </c>
      <c r="B9" s="253" t="s">
        <v>34</v>
      </c>
      <c r="C9" s="254" t="s">
        <v>50</v>
      </c>
      <c r="D9" s="252" t="s">
        <v>36</v>
      </c>
      <c r="E9" s="252" t="s">
        <v>46</v>
      </c>
      <c r="F9" s="252" t="s">
        <v>46</v>
      </c>
      <c r="G9" s="252" t="s">
        <v>37</v>
      </c>
      <c r="H9" s="252" t="s">
        <v>51</v>
      </c>
      <c r="I9" s="252"/>
      <c r="J9" s="252"/>
      <c r="K9" s="252"/>
      <c r="L9" s="252"/>
      <c r="M9" s="252" t="s">
        <v>38</v>
      </c>
      <c r="N9" s="252" t="s">
        <v>39</v>
      </c>
      <c r="O9" s="252" t="s">
        <v>40</v>
      </c>
      <c r="P9" s="253" t="s">
        <v>52</v>
      </c>
      <c r="Q9" s="257">
        <v>8484900000</v>
      </c>
      <c r="R9" s="257">
        <v>0</v>
      </c>
      <c r="S9" s="257">
        <v>0</v>
      </c>
      <c r="T9" s="257">
        <v>8484900000</v>
      </c>
      <c r="U9" s="257">
        <v>8484900000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432">
        <v>0</v>
      </c>
    </row>
    <row r="10" spans="1:29" ht="20.399999999999999">
      <c r="A10" s="252" t="s">
        <v>33</v>
      </c>
      <c r="B10" s="253" t="s">
        <v>34</v>
      </c>
      <c r="C10" s="254" t="s">
        <v>53</v>
      </c>
      <c r="D10" s="252" t="s">
        <v>36</v>
      </c>
      <c r="E10" s="252" t="s">
        <v>46</v>
      </c>
      <c r="F10" s="252" t="s">
        <v>54</v>
      </c>
      <c r="G10" s="252" t="s">
        <v>43</v>
      </c>
      <c r="H10" s="252" t="s">
        <v>55</v>
      </c>
      <c r="I10" s="252"/>
      <c r="J10" s="252"/>
      <c r="K10" s="252"/>
      <c r="L10" s="252"/>
      <c r="M10" s="252" t="s">
        <v>38</v>
      </c>
      <c r="N10" s="252" t="s">
        <v>39</v>
      </c>
      <c r="O10" s="252" t="s">
        <v>40</v>
      </c>
      <c r="P10" s="253" t="s">
        <v>56</v>
      </c>
      <c r="Q10" s="257">
        <v>1272500000</v>
      </c>
      <c r="R10" s="257">
        <v>0</v>
      </c>
      <c r="S10" s="257">
        <v>0</v>
      </c>
      <c r="T10" s="257">
        <v>1272500000</v>
      </c>
      <c r="U10" s="257">
        <v>0</v>
      </c>
      <c r="V10" s="257">
        <v>1272500000</v>
      </c>
      <c r="W10" s="257">
        <v>0</v>
      </c>
      <c r="X10" s="257">
        <v>215825483</v>
      </c>
      <c r="Y10" s="257">
        <v>215825483</v>
      </c>
      <c r="Z10" s="257">
        <v>215825483</v>
      </c>
      <c r="AA10" s="432">
        <v>215825483</v>
      </c>
    </row>
    <row r="11" spans="1:29" ht="20.399999999999999">
      <c r="A11" s="252" t="s">
        <v>33</v>
      </c>
      <c r="B11" s="253" t="s">
        <v>34</v>
      </c>
      <c r="C11" s="254" t="s">
        <v>57</v>
      </c>
      <c r="D11" s="252" t="s">
        <v>36</v>
      </c>
      <c r="E11" s="252" t="s">
        <v>46</v>
      </c>
      <c r="F11" s="252" t="s">
        <v>54</v>
      </c>
      <c r="G11" s="252" t="s">
        <v>43</v>
      </c>
      <c r="H11" s="252" t="s">
        <v>58</v>
      </c>
      <c r="I11" s="252"/>
      <c r="J11" s="252"/>
      <c r="K11" s="252"/>
      <c r="L11" s="252"/>
      <c r="M11" s="252" t="s">
        <v>38</v>
      </c>
      <c r="N11" s="252" t="s">
        <v>39</v>
      </c>
      <c r="O11" s="252" t="s">
        <v>40</v>
      </c>
      <c r="P11" s="253" t="s">
        <v>59</v>
      </c>
      <c r="Q11" s="257">
        <v>60400000</v>
      </c>
      <c r="R11" s="257">
        <v>0</v>
      </c>
      <c r="S11" s="257">
        <v>0</v>
      </c>
      <c r="T11" s="257">
        <v>60400000</v>
      </c>
      <c r="U11" s="257">
        <v>0</v>
      </c>
      <c r="V11" s="257">
        <v>60400000</v>
      </c>
      <c r="W11" s="257">
        <v>0</v>
      </c>
      <c r="X11" s="257">
        <v>56486850</v>
      </c>
      <c r="Y11" s="257">
        <v>8018772</v>
      </c>
      <c r="Z11" s="257">
        <v>7920311</v>
      </c>
      <c r="AA11" s="432">
        <v>7920311</v>
      </c>
    </row>
    <row r="12" spans="1:29" ht="20.399999999999999">
      <c r="A12" s="252" t="s">
        <v>33</v>
      </c>
      <c r="B12" s="253" t="s">
        <v>34</v>
      </c>
      <c r="C12" s="254" t="s">
        <v>60</v>
      </c>
      <c r="D12" s="252" t="s">
        <v>36</v>
      </c>
      <c r="E12" s="252" t="s">
        <v>46</v>
      </c>
      <c r="F12" s="252" t="s">
        <v>54</v>
      </c>
      <c r="G12" s="252" t="s">
        <v>43</v>
      </c>
      <c r="H12" s="252" t="s">
        <v>61</v>
      </c>
      <c r="I12" s="252"/>
      <c r="J12" s="252"/>
      <c r="K12" s="252"/>
      <c r="L12" s="252"/>
      <c r="M12" s="252" t="s">
        <v>38</v>
      </c>
      <c r="N12" s="252" t="s">
        <v>39</v>
      </c>
      <c r="O12" s="252" t="s">
        <v>40</v>
      </c>
      <c r="P12" s="253" t="s">
        <v>62</v>
      </c>
      <c r="Q12" s="257">
        <v>914000000</v>
      </c>
      <c r="R12" s="257">
        <v>0</v>
      </c>
      <c r="S12" s="257">
        <v>0</v>
      </c>
      <c r="T12" s="257">
        <v>914000000</v>
      </c>
      <c r="U12" s="257">
        <v>0</v>
      </c>
      <c r="V12" s="257">
        <v>914000000</v>
      </c>
      <c r="W12" s="257">
        <v>0</v>
      </c>
      <c r="X12" s="257">
        <v>504888000</v>
      </c>
      <c r="Y12" s="257">
        <v>289556000</v>
      </c>
      <c r="Z12" s="257">
        <v>289556000</v>
      </c>
      <c r="AA12" s="432">
        <v>289556000</v>
      </c>
    </row>
    <row r="13" spans="1:29" ht="30.6">
      <c r="A13" s="252" t="s">
        <v>33</v>
      </c>
      <c r="B13" s="253" t="s">
        <v>34</v>
      </c>
      <c r="C13" s="254" t="s">
        <v>63</v>
      </c>
      <c r="D13" s="252" t="s">
        <v>36</v>
      </c>
      <c r="E13" s="252" t="s">
        <v>46</v>
      </c>
      <c r="F13" s="252" t="s">
        <v>54</v>
      </c>
      <c r="G13" s="252" t="s">
        <v>43</v>
      </c>
      <c r="H13" s="252" t="s">
        <v>64</v>
      </c>
      <c r="I13" s="252"/>
      <c r="J13" s="252"/>
      <c r="K13" s="252"/>
      <c r="L13" s="252"/>
      <c r="M13" s="252" t="s">
        <v>38</v>
      </c>
      <c r="N13" s="252" t="s">
        <v>39</v>
      </c>
      <c r="O13" s="252" t="s">
        <v>40</v>
      </c>
      <c r="P13" s="253" t="s">
        <v>65</v>
      </c>
      <c r="Q13" s="257">
        <v>181500000</v>
      </c>
      <c r="R13" s="257">
        <v>0</v>
      </c>
      <c r="S13" s="257">
        <v>0</v>
      </c>
      <c r="T13" s="257">
        <v>181500000</v>
      </c>
      <c r="U13" s="257">
        <v>0</v>
      </c>
      <c r="V13" s="257">
        <v>181500000</v>
      </c>
      <c r="W13" s="257">
        <v>0</v>
      </c>
      <c r="X13" s="257">
        <v>48650207</v>
      </c>
      <c r="Y13" s="257">
        <v>41323879</v>
      </c>
      <c r="Z13" s="257">
        <v>41323879</v>
      </c>
      <c r="AA13" s="432">
        <v>41323879</v>
      </c>
    </row>
    <row r="14" spans="1:29" ht="20.399999999999999">
      <c r="A14" s="252" t="s">
        <v>33</v>
      </c>
      <c r="B14" s="253" t="s">
        <v>34</v>
      </c>
      <c r="C14" s="254" t="s">
        <v>66</v>
      </c>
      <c r="D14" s="252" t="s">
        <v>36</v>
      </c>
      <c r="E14" s="252" t="s">
        <v>46</v>
      </c>
      <c r="F14" s="252" t="s">
        <v>39</v>
      </c>
      <c r="G14" s="252"/>
      <c r="H14" s="252"/>
      <c r="I14" s="252"/>
      <c r="J14" s="252"/>
      <c r="K14" s="252"/>
      <c r="L14" s="252"/>
      <c r="M14" s="252" t="s">
        <v>38</v>
      </c>
      <c r="N14" s="252" t="s">
        <v>39</v>
      </c>
      <c r="O14" s="252" t="s">
        <v>40</v>
      </c>
      <c r="P14" s="253" t="s">
        <v>67</v>
      </c>
      <c r="Q14" s="257">
        <v>301400000</v>
      </c>
      <c r="R14" s="257">
        <v>0</v>
      </c>
      <c r="S14" s="257">
        <v>0</v>
      </c>
      <c r="T14" s="257">
        <v>301400000</v>
      </c>
      <c r="U14" s="257">
        <v>0</v>
      </c>
      <c r="V14" s="257">
        <v>0</v>
      </c>
      <c r="W14" s="257">
        <v>301400000</v>
      </c>
      <c r="X14" s="257">
        <v>0</v>
      </c>
      <c r="Y14" s="257">
        <v>0</v>
      </c>
      <c r="Z14" s="257">
        <v>0</v>
      </c>
      <c r="AA14" s="432">
        <v>0</v>
      </c>
    </row>
    <row r="15" spans="1:29" ht="20.399999999999999">
      <c r="A15" s="283" t="s">
        <v>33</v>
      </c>
      <c r="B15" s="284" t="s">
        <v>34</v>
      </c>
      <c r="C15" s="285" t="s">
        <v>68</v>
      </c>
      <c r="D15" s="283" t="s">
        <v>36</v>
      </c>
      <c r="E15" s="283" t="s">
        <v>69</v>
      </c>
      <c r="F15" s="283" t="s">
        <v>37</v>
      </c>
      <c r="G15" s="283"/>
      <c r="H15" s="283"/>
      <c r="I15" s="283"/>
      <c r="J15" s="283"/>
      <c r="K15" s="283"/>
      <c r="L15" s="283"/>
      <c r="M15" s="283" t="s">
        <v>38</v>
      </c>
      <c r="N15" s="283" t="s">
        <v>39</v>
      </c>
      <c r="O15" s="283" t="s">
        <v>40</v>
      </c>
      <c r="P15" s="284" t="s">
        <v>70</v>
      </c>
      <c r="Q15" s="286">
        <v>159000000</v>
      </c>
      <c r="R15" s="286">
        <v>0</v>
      </c>
      <c r="S15" s="286">
        <v>0</v>
      </c>
      <c r="T15" s="286">
        <v>159000000</v>
      </c>
      <c r="U15" s="286">
        <v>0</v>
      </c>
      <c r="V15" s="286">
        <v>2523000</v>
      </c>
      <c r="W15" s="286">
        <v>156477000</v>
      </c>
      <c r="X15" s="286">
        <v>2523000</v>
      </c>
      <c r="Y15" s="286">
        <v>0</v>
      </c>
      <c r="Z15" s="286">
        <v>0</v>
      </c>
      <c r="AA15" s="433">
        <v>0</v>
      </c>
    </row>
    <row r="16" spans="1:29" ht="20.399999999999999">
      <c r="A16" s="283" t="s">
        <v>33</v>
      </c>
      <c r="B16" s="284" t="s">
        <v>34</v>
      </c>
      <c r="C16" s="285" t="s">
        <v>71</v>
      </c>
      <c r="D16" s="283" t="s">
        <v>36</v>
      </c>
      <c r="E16" s="283" t="s">
        <v>69</v>
      </c>
      <c r="F16" s="283" t="s">
        <v>54</v>
      </c>
      <c r="G16" s="283" t="s">
        <v>37</v>
      </c>
      <c r="H16" s="283"/>
      <c r="I16" s="283"/>
      <c r="J16" s="283"/>
      <c r="K16" s="283"/>
      <c r="L16" s="283"/>
      <c r="M16" s="283" t="s">
        <v>38</v>
      </c>
      <c r="N16" s="283" t="s">
        <v>72</v>
      </c>
      <c r="O16" s="283" t="s">
        <v>73</v>
      </c>
      <c r="P16" s="284" t="s">
        <v>74</v>
      </c>
      <c r="Q16" s="286">
        <v>4359000000</v>
      </c>
      <c r="R16" s="286">
        <v>0</v>
      </c>
      <c r="S16" s="286">
        <v>0</v>
      </c>
      <c r="T16" s="286">
        <v>4359000000</v>
      </c>
      <c r="U16" s="286">
        <v>0</v>
      </c>
      <c r="V16" s="286">
        <v>0</v>
      </c>
      <c r="W16" s="286">
        <v>4359000000</v>
      </c>
      <c r="X16" s="286">
        <v>0</v>
      </c>
      <c r="Y16" s="286">
        <v>0</v>
      </c>
      <c r="Z16" s="286">
        <v>0</v>
      </c>
      <c r="AA16" s="433">
        <v>0</v>
      </c>
    </row>
    <row r="17" spans="1:31" ht="30.6">
      <c r="A17" s="14" t="s">
        <v>33</v>
      </c>
      <c r="B17" s="15" t="s">
        <v>34</v>
      </c>
      <c r="C17" s="16" t="s">
        <v>75</v>
      </c>
      <c r="D17" s="14" t="s">
        <v>76</v>
      </c>
      <c r="E17" s="14" t="s">
        <v>77</v>
      </c>
      <c r="F17" s="14" t="s">
        <v>78</v>
      </c>
      <c r="G17" s="14" t="s">
        <v>79</v>
      </c>
      <c r="H17" s="14" t="s">
        <v>80</v>
      </c>
      <c r="I17" s="14"/>
      <c r="J17" s="14"/>
      <c r="K17" s="14"/>
      <c r="L17" s="14"/>
      <c r="M17" s="14" t="s">
        <v>38</v>
      </c>
      <c r="N17" s="14" t="s">
        <v>39</v>
      </c>
      <c r="O17" s="14" t="s">
        <v>40</v>
      </c>
      <c r="P17" s="15" t="s">
        <v>81</v>
      </c>
      <c r="Q17" s="428">
        <v>746490906700</v>
      </c>
      <c r="R17" s="428">
        <v>0</v>
      </c>
      <c r="S17" s="428">
        <v>0</v>
      </c>
      <c r="T17" s="428">
        <v>746490906700</v>
      </c>
      <c r="U17" s="428">
        <v>0</v>
      </c>
      <c r="V17" s="428">
        <v>589540956389</v>
      </c>
      <c r="W17" s="428">
        <v>156949950311</v>
      </c>
      <c r="X17" s="428">
        <v>585440956389</v>
      </c>
      <c r="Y17" s="428">
        <v>0</v>
      </c>
      <c r="Z17" s="428">
        <v>0</v>
      </c>
      <c r="AA17" s="446">
        <v>0</v>
      </c>
      <c r="AB17" s="437"/>
      <c r="AC17" s="437"/>
      <c r="AD17" s="437"/>
      <c r="AE17" s="438"/>
    </row>
    <row r="18" spans="1:31" ht="30.6">
      <c r="A18" s="14" t="s">
        <v>33</v>
      </c>
      <c r="B18" s="15" t="s">
        <v>34</v>
      </c>
      <c r="C18" s="16" t="s">
        <v>82</v>
      </c>
      <c r="D18" s="14" t="s">
        <v>76</v>
      </c>
      <c r="E18" s="14" t="s">
        <v>77</v>
      </c>
      <c r="F18" s="14" t="s">
        <v>78</v>
      </c>
      <c r="G18" s="14" t="s">
        <v>83</v>
      </c>
      <c r="H18" s="14" t="s">
        <v>80</v>
      </c>
      <c r="I18" s="14"/>
      <c r="J18" s="14"/>
      <c r="K18" s="14"/>
      <c r="L18" s="14"/>
      <c r="M18" s="14" t="s">
        <v>38</v>
      </c>
      <c r="N18" s="14" t="s">
        <v>84</v>
      </c>
      <c r="O18" s="14" t="s">
        <v>40</v>
      </c>
      <c r="P18" s="15" t="s">
        <v>81</v>
      </c>
      <c r="Q18" s="428">
        <v>8000000000</v>
      </c>
      <c r="R18" s="428">
        <v>0</v>
      </c>
      <c r="S18" s="428">
        <v>0</v>
      </c>
      <c r="T18" s="428">
        <v>8000000000</v>
      </c>
      <c r="U18" s="428">
        <v>0</v>
      </c>
      <c r="V18" s="428">
        <v>0</v>
      </c>
      <c r="W18" s="428">
        <v>8000000000</v>
      </c>
      <c r="X18" s="428">
        <v>0</v>
      </c>
      <c r="Y18" s="428">
        <v>0</v>
      </c>
      <c r="Z18" s="428">
        <v>0</v>
      </c>
      <c r="AA18" s="446">
        <v>0</v>
      </c>
      <c r="AB18" s="437"/>
      <c r="AC18" s="437"/>
      <c r="AD18" s="437"/>
    </row>
    <row r="19" spans="1:31" ht="30.6">
      <c r="A19" s="14" t="s">
        <v>33</v>
      </c>
      <c r="B19" s="15" t="s">
        <v>34</v>
      </c>
      <c r="C19" s="16" t="s">
        <v>82</v>
      </c>
      <c r="D19" s="14" t="s">
        <v>76</v>
      </c>
      <c r="E19" s="14" t="s">
        <v>77</v>
      </c>
      <c r="F19" s="14" t="s">
        <v>78</v>
      </c>
      <c r="G19" s="14" t="s">
        <v>83</v>
      </c>
      <c r="H19" s="14" t="s">
        <v>80</v>
      </c>
      <c r="I19" s="14"/>
      <c r="J19" s="14"/>
      <c r="K19" s="14"/>
      <c r="L19" s="14"/>
      <c r="M19" s="14" t="s">
        <v>38</v>
      </c>
      <c r="N19" s="14" t="s">
        <v>85</v>
      </c>
      <c r="O19" s="14" t="s">
        <v>40</v>
      </c>
      <c r="P19" s="15" t="s">
        <v>81</v>
      </c>
      <c r="Q19" s="428">
        <v>6028209000</v>
      </c>
      <c r="R19" s="428">
        <v>0</v>
      </c>
      <c r="S19" s="428">
        <v>0</v>
      </c>
      <c r="T19" s="428">
        <v>6028209000</v>
      </c>
      <c r="U19" s="428">
        <v>0</v>
      </c>
      <c r="V19" s="428">
        <v>3931528208</v>
      </c>
      <c r="W19" s="428">
        <v>2096680792</v>
      </c>
      <c r="X19" s="428">
        <v>3931528208</v>
      </c>
      <c r="Y19" s="428">
        <v>0</v>
      </c>
      <c r="Z19" s="428">
        <v>0</v>
      </c>
      <c r="AA19" s="446">
        <v>0</v>
      </c>
      <c r="AB19" s="437"/>
      <c r="AC19" s="437"/>
      <c r="AD19" s="437"/>
    </row>
    <row r="20" spans="1:31" ht="40.799999999999997">
      <c r="A20" s="14" t="s">
        <v>33</v>
      </c>
      <c r="B20" s="15" t="s">
        <v>34</v>
      </c>
      <c r="C20" s="16" t="s">
        <v>86</v>
      </c>
      <c r="D20" s="14" t="s">
        <v>76</v>
      </c>
      <c r="E20" s="14" t="s">
        <v>77</v>
      </c>
      <c r="F20" s="14" t="s">
        <v>78</v>
      </c>
      <c r="G20" s="14" t="s">
        <v>87</v>
      </c>
      <c r="H20" s="14" t="s">
        <v>88</v>
      </c>
      <c r="I20" s="14"/>
      <c r="J20" s="14"/>
      <c r="K20" s="14"/>
      <c r="L20" s="14"/>
      <c r="M20" s="14" t="s">
        <v>38</v>
      </c>
      <c r="N20" s="14" t="s">
        <v>85</v>
      </c>
      <c r="O20" s="14" t="s">
        <v>40</v>
      </c>
      <c r="P20" s="15" t="s">
        <v>89</v>
      </c>
      <c r="Q20" s="428">
        <v>20500000000</v>
      </c>
      <c r="R20" s="428">
        <v>0</v>
      </c>
      <c r="S20" s="428">
        <v>0</v>
      </c>
      <c r="T20" s="428">
        <v>20500000000</v>
      </c>
      <c r="U20" s="428">
        <v>0</v>
      </c>
      <c r="V20" s="428">
        <v>7402664867</v>
      </c>
      <c r="W20" s="428">
        <v>13097335133</v>
      </c>
      <c r="X20" s="428">
        <v>4031097468</v>
      </c>
      <c r="Y20" s="428">
        <v>203096405</v>
      </c>
      <c r="Z20" s="428">
        <v>173510958</v>
      </c>
      <c r="AA20" s="446">
        <v>173510958</v>
      </c>
      <c r="AB20" s="437"/>
      <c r="AC20" s="437"/>
      <c r="AD20" s="437"/>
    </row>
    <row r="21" spans="1:31" ht="20.399999999999999">
      <c r="A21" s="14" t="s">
        <v>33</v>
      </c>
      <c r="B21" s="15" t="s">
        <v>34</v>
      </c>
      <c r="C21" s="16" t="s">
        <v>90</v>
      </c>
      <c r="D21" s="14" t="s">
        <v>76</v>
      </c>
      <c r="E21" s="14" t="s">
        <v>77</v>
      </c>
      <c r="F21" s="14" t="s">
        <v>78</v>
      </c>
      <c r="G21" s="14" t="s">
        <v>91</v>
      </c>
      <c r="H21" s="14" t="s">
        <v>92</v>
      </c>
      <c r="I21" s="14"/>
      <c r="J21" s="14"/>
      <c r="K21" s="14"/>
      <c r="L21" s="14"/>
      <c r="M21" s="14" t="s">
        <v>38</v>
      </c>
      <c r="N21" s="14" t="s">
        <v>85</v>
      </c>
      <c r="O21" s="14" t="s">
        <v>40</v>
      </c>
      <c r="P21" s="15" t="s">
        <v>93</v>
      </c>
      <c r="Q21" s="428">
        <v>15666171505</v>
      </c>
      <c r="R21" s="428">
        <v>0</v>
      </c>
      <c r="S21" s="428">
        <v>0</v>
      </c>
      <c r="T21" s="428">
        <v>15666171505</v>
      </c>
      <c r="U21" s="428">
        <v>0</v>
      </c>
      <c r="V21" s="428">
        <v>8683705751</v>
      </c>
      <c r="W21" s="428">
        <v>6982465754</v>
      </c>
      <c r="X21" s="428">
        <v>8447768760</v>
      </c>
      <c r="Y21" s="428">
        <v>260152101</v>
      </c>
      <c r="Z21" s="428">
        <v>232143101</v>
      </c>
      <c r="AA21" s="446">
        <v>231466101</v>
      </c>
      <c r="AB21" s="437"/>
      <c r="AC21" s="437"/>
      <c r="AD21" s="437"/>
    </row>
    <row r="22" spans="1:31" ht="20.399999999999999">
      <c r="A22" s="14" t="s">
        <v>33</v>
      </c>
      <c r="B22" s="15" t="s">
        <v>34</v>
      </c>
      <c r="C22" s="16" t="s">
        <v>94</v>
      </c>
      <c r="D22" s="14" t="s">
        <v>76</v>
      </c>
      <c r="E22" s="14" t="s">
        <v>77</v>
      </c>
      <c r="F22" s="14" t="s">
        <v>78</v>
      </c>
      <c r="G22" s="14" t="s">
        <v>95</v>
      </c>
      <c r="H22" s="14" t="s">
        <v>92</v>
      </c>
      <c r="I22" s="14"/>
      <c r="J22" s="14"/>
      <c r="K22" s="14"/>
      <c r="L22" s="14"/>
      <c r="M22" s="14" t="s">
        <v>38</v>
      </c>
      <c r="N22" s="14" t="s">
        <v>85</v>
      </c>
      <c r="O22" s="14" t="s">
        <v>40</v>
      </c>
      <c r="P22" s="15" t="s">
        <v>93</v>
      </c>
      <c r="Q22" s="428">
        <v>15603530000</v>
      </c>
      <c r="R22" s="428">
        <v>0</v>
      </c>
      <c r="S22" s="428">
        <v>0</v>
      </c>
      <c r="T22" s="428">
        <v>15603530000</v>
      </c>
      <c r="U22" s="428">
        <v>0</v>
      </c>
      <c r="V22" s="428">
        <v>9546098063</v>
      </c>
      <c r="W22" s="428">
        <v>6057431937</v>
      </c>
      <c r="X22" s="428">
        <v>9337588492</v>
      </c>
      <c r="Y22" s="428">
        <v>329956083</v>
      </c>
      <c r="Z22" s="428">
        <v>329956083</v>
      </c>
      <c r="AA22" s="446">
        <v>329956083</v>
      </c>
      <c r="AB22" s="437"/>
      <c r="AC22" s="437"/>
      <c r="AD22" s="437"/>
    </row>
    <row r="23" spans="1:31" s="393" customFormat="1" ht="30.6">
      <c r="A23" s="447" t="s">
        <v>33</v>
      </c>
      <c r="B23" s="448" t="s">
        <v>34</v>
      </c>
      <c r="C23" s="449" t="s">
        <v>96</v>
      </c>
      <c r="D23" s="447" t="s">
        <v>76</v>
      </c>
      <c r="E23" s="447" t="s">
        <v>77</v>
      </c>
      <c r="F23" s="447" t="s">
        <v>78</v>
      </c>
      <c r="G23" s="447" t="s">
        <v>97</v>
      </c>
      <c r="H23" s="447" t="s">
        <v>98</v>
      </c>
      <c r="I23" s="447"/>
      <c r="J23" s="447"/>
      <c r="K23" s="447"/>
      <c r="L23" s="447"/>
      <c r="M23" s="447" t="s">
        <v>38</v>
      </c>
      <c r="N23" s="447" t="s">
        <v>72</v>
      </c>
      <c r="O23" s="447" t="s">
        <v>40</v>
      </c>
      <c r="P23" s="448" t="s">
        <v>99</v>
      </c>
      <c r="Q23" s="429">
        <v>30000000000</v>
      </c>
      <c r="R23" s="429">
        <v>0</v>
      </c>
      <c r="S23" s="429">
        <v>0</v>
      </c>
      <c r="T23" s="429">
        <v>30000000000</v>
      </c>
      <c r="U23" s="429">
        <v>30000000000</v>
      </c>
      <c r="V23" s="429">
        <v>0</v>
      </c>
      <c r="W23" s="429">
        <v>0</v>
      </c>
      <c r="X23" s="429">
        <v>0</v>
      </c>
      <c r="Y23" s="429">
        <v>0</v>
      </c>
      <c r="Z23" s="429">
        <v>0</v>
      </c>
      <c r="AA23" s="450">
        <v>0</v>
      </c>
      <c r="AB23" s="439"/>
      <c r="AC23" s="439"/>
      <c r="AD23" s="439"/>
    </row>
    <row r="24" spans="1:31" ht="40.799999999999997">
      <c r="A24" s="14" t="s">
        <v>33</v>
      </c>
      <c r="B24" s="15" t="s">
        <v>34</v>
      </c>
      <c r="C24" s="16" t="s">
        <v>100</v>
      </c>
      <c r="D24" s="14" t="s">
        <v>76</v>
      </c>
      <c r="E24" s="14" t="s">
        <v>77</v>
      </c>
      <c r="F24" s="14" t="s">
        <v>78</v>
      </c>
      <c r="G24" s="14" t="s">
        <v>101</v>
      </c>
      <c r="H24" s="14" t="s">
        <v>102</v>
      </c>
      <c r="I24" s="14"/>
      <c r="J24" s="14"/>
      <c r="K24" s="14"/>
      <c r="L24" s="14"/>
      <c r="M24" s="14" t="s">
        <v>38</v>
      </c>
      <c r="N24" s="14" t="s">
        <v>72</v>
      </c>
      <c r="O24" s="14" t="s">
        <v>40</v>
      </c>
      <c r="P24" s="15" t="s">
        <v>103</v>
      </c>
      <c r="Q24" s="428">
        <v>51627500000</v>
      </c>
      <c r="R24" s="428">
        <v>0</v>
      </c>
      <c r="S24" s="428">
        <v>0</v>
      </c>
      <c r="T24" s="428">
        <v>51627500000</v>
      </c>
      <c r="U24" s="428">
        <v>0</v>
      </c>
      <c r="V24" s="428">
        <v>37704658609</v>
      </c>
      <c r="W24" s="428">
        <v>13922841391</v>
      </c>
      <c r="X24" s="428">
        <v>30280936318</v>
      </c>
      <c r="Y24" s="428">
        <v>2466597834</v>
      </c>
      <c r="Z24" s="428">
        <v>2314995140</v>
      </c>
      <c r="AA24" s="446">
        <v>2120917785</v>
      </c>
      <c r="AB24" s="437"/>
      <c r="AC24" s="437"/>
      <c r="AD24" s="437"/>
    </row>
    <row r="25" spans="1:31" ht="30.6">
      <c r="A25" s="14" t="s">
        <v>33</v>
      </c>
      <c r="B25" s="15" t="s">
        <v>34</v>
      </c>
      <c r="C25" s="16" t="s">
        <v>104</v>
      </c>
      <c r="D25" s="14" t="s">
        <v>76</v>
      </c>
      <c r="E25" s="14" t="s">
        <v>77</v>
      </c>
      <c r="F25" s="14" t="s">
        <v>78</v>
      </c>
      <c r="G25" s="14" t="s">
        <v>105</v>
      </c>
      <c r="H25" s="14" t="s">
        <v>98</v>
      </c>
      <c r="I25" s="14"/>
      <c r="J25" s="14"/>
      <c r="K25" s="14"/>
      <c r="L25" s="14"/>
      <c r="M25" s="14" t="s">
        <v>38</v>
      </c>
      <c r="N25" s="14" t="s">
        <v>72</v>
      </c>
      <c r="O25" s="14" t="s">
        <v>40</v>
      </c>
      <c r="P25" s="15" t="s">
        <v>99</v>
      </c>
      <c r="Q25" s="428">
        <v>19221000000</v>
      </c>
      <c r="R25" s="428">
        <v>0</v>
      </c>
      <c r="S25" s="428">
        <v>0</v>
      </c>
      <c r="T25" s="428">
        <v>19221000000</v>
      </c>
      <c r="U25" s="428">
        <v>0</v>
      </c>
      <c r="V25" s="428">
        <v>12254985273</v>
      </c>
      <c r="W25" s="428">
        <v>6966014727</v>
      </c>
      <c r="X25" s="428">
        <v>9486975162</v>
      </c>
      <c r="Y25" s="428">
        <v>1081273527</v>
      </c>
      <c r="Z25" s="428">
        <v>1062134811</v>
      </c>
      <c r="AA25" s="446">
        <v>1034267211</v>
      </c>
      <c r="AB25" s="437"/>
      <c r="AC25" s="437"/>
      <c r="AD25" s="437"/>
    </row>
    <row r="26" spans="1:31" ht="40.799999999999997">
      <c r="A26" s="14" t="s">
        <v>33</v>
      </c>
      <c r="B26" s="15" t="s">
        <v>34</v>
      </c>
      <c r="C26" s="16" t="s">
        <v>106</v>
      </c>
      <c r="D26" s="14" t="s">
        <v>76</v>
      </c>
      <c r="E26" s="14" t="s">
        <v>77</v>
      </c>
      <c r="F26" s="14" t="s">
        <v>78</v>
      </c>
      <c r="G26" s="14" t="s">
        <v>107</v>
      </c>
      <c r="H26" s="14" t="s">
        <v>102</v>
      </c>
      <c r="I26" s="14"/>
      <c r="J26" s="14"/>
      <c r="K26" s="14"/>
      <c r="L26" s="14"/>
      <c r="M26" s="14" t="s">
        <v>38</v>
      </c>
      <c r="N26" s="14" t="s">
        <v>72</v>
      </c>
      <c r="O26" s="14" t="s">
        <v>40</v>
      </c>
      <c r="P26" s="15" t="s">
        <v>103</v>
      </c>
      <c r="Q26" s="428">
        <v>4348000000</v>
      </c>
      <c r="R26" s="428">
        <v>0</v>
      </c>
      <c r="S26" s="428">
        <v>0</v>
      </c>
      <c r="T26" s="428">
        <v>4348000000</v>
      </c>
      <c r="U26" s="428">
        <v>0</v>
      </c>
      <c r="V26" s="428">
        <v>3055060608</v>
      </c>
      <c r="W26" s="428">
        <v>1292939392</v>
      </c>
      <c r="X26" s="428">
        <v>1885695341</v>
      </c>
      <c r="Y26" s="428">
        <v>190223700</v>
      </c>
      <c r="Z26" s="428">
        <v>177788300</v>
      </c>
      <c r="AA26" s="446">
        <v>156671300</v>
      </c>
      <c r="AB26" s="437"/>
      <c r="AC26" s="437"/>
      <c r="AD26" s="437"/>
    </row>
    <row r="27" spans="1:31" ht="40.799999999999997">
      <c r="A27" s="14" t="s">
        <v>33</v>
      </c>
      <c r="B27" s="15" t="s">
        <v>34</v>
      </c>
      <c r="C27" s="16" t="s">
        <v>108</v>
      </c>
      <c r="D27" s="14" t="s">
        <v>76</v>
      </c>
      <c r="E27" s="14" t="s">
        <v>77</v>
      </c>
      <c r="F27" s="14" t="s">
        <v>78</v>
      </c>
      <c r="G27" s="14" t="s">
        <v>109</v>
      </c>
      <c r="H27" s="14" t="s">
        <v>102</v>
      </c>
      <c r="I27" s="14"/>
      <c r="J27" s="14"/>
      <c r="K27" s="14"/>
      <c r="L27" s="14"/>
      <c r="M27" s="14" t="s">
        <v>38</v>
      </c>
      <c r="N27" s="14" t="s">
        <v>72</v>
      </c>
      <c r="O27" s="14" t="s">
        <v>40</v>
      </c>
      <c r="P27" s="15" t="s">
        <v>103</v>
      </c>
      <c r="Q27" s="428">
        <v>21000000000</v>
      </c>
      <c r="R27" s="428">
        <v>0</v>
      </c>
      <c r="S27" s="428">
        <v>0</v>
      </c>
      <c r="T27" s="428">
        <v>21000000000</v>
      </c>
      <c r="U27" s="428">
        <v>0</v>
      </c>
      <c r="V27" s="428">
        <v>16885214224</v>
      </c>
      <c r="W27" s="428">
        <v>4114785776</v>
      </c>
      <c r="X27" s="428">
        <v>7784094566</v>
      </c>
      <c r="Y27" s="428">
        <v>368040220</v>
      </c>
      <c r="Z27" s="428">
        <v>358540220</v>
      </c>
      <c r="AA27" s="446">
        <v>286699880</v>
      </c>
      <c r="AB27" s="437"/>
      <c r="AC27" s="437"/>
      <c r="AD27" s="437"/>
    </row>
    <row r="28" spans="1:31" ht="40.799999999999997">
      <c r="A28" s="14" t="s">
        <v>33</v>
      </c>
      <c r="B28" s="15" t="s">
        <v>34</v>
      </c>
      <c r="C28" s="16" t="s">
        <v>110</v>
      </c>
      <c r="D28" s="14" t="s">
        <v>76</v>
      </c>
      <c r="E28" s="14" t="s">
        <v>77</v>
      </c>
      <c r="F28" s="14" t="s">
        <v>78</v>
      </c>
      <c r="G28" s="14" t="s">
        <v>111</v>
      </c>
      <c r="H28" s="14" t="s">
        <v>102</v>
      </c>
      <c r="I28" s="14"/>
      <c r="J28" s="14"/>
      <c r="K28" s="14"/>
      <c r="L28" s="14"/>
      <c r="M28" s="14" t="s">
        <v>38</v>
      </c>
      <c r="N28" s="14" t="s">
        <v>72</v>
      </c>
      <c r="O28" s="14" t="s">
        <v>40</v>
      </c>
      <c r="P28" s="15" t="s">
        <v>103</v>
      </c>
      <c r="Q28" s="428">
        <v>7040000000</v>
      </c>
      <c r="R28" s="428">
        <v>0</v>
      </c>
      <c r="S28" s="428">
        <v>0</v>
      </c>
      <c r="T28" s="428">
        <v>7040000000</v>
      </c>
      <c r="U28" s="428">
        <v>0</v>
      </c>
      <c r="V28" s="428">
        <v>4532957462</v>
      </c>
      <c r="W28" s="428">
        <v>2507042538</v>
      </c>
      <c r="X28" s="428">
        <v>2601818278</v>
      </c>
      <c r="Y28" s="428">
        <v>194670102</v>
      </c>
      <c r="Z28" s="428">
        <v>194670102</v>
      </c>
      <c r="AA28" s="446">
        <v>181189102</v>
      </c>
      <c r="AB28" s="437"/>
      <c r="AC28" s="437"/>
      <c r="AD28" s="437"/>
    </row>
    <row r="29" spans="1:31" ht="30.6">
      <c r="A29" s="14" t="s">
        <v>33</v>
      </c>
      <c r="B29" s="15" t="s">
        <v>34</v>
      </c>
      <c r="C29" s="16" t="s">
        <v>112</v>
      </c>
      <c r="D29" s="14" t="s">
        <v>76</v>
      </c>
      <c r="E29" s="14" t="s">
        <v>77</v>
      </c>
      <c r="F29" s="14" t="s">
        <v>78</v>
      </c>
      <c r="G29" s="14" t="s">
        <v>113</v>
      </c>
      <c r="H29" s="14" t="s">
        <v>114</v>
      </c>
      <c r="I29" s="14"/>
      <c r="J29" s="14"/>
      <c r="K29" s="14"/>
      <c r="L29" s="14"/>
      <c r="M29" s="14" t="s">
        <v>38</v>
      </c>
      <c r="N29" s="14" t="s">
        <v>72</v>
      </c>
      <c r="O29" s="14" t="s">
        <v>40</v>
      </c>
      <c r="P29" s="15" t="s">
        <v>115</v>
      </c>
      <c r="Q29" s="428">
        <v>21367000000</v>
      </c>
      <c r="R29" s="428">
        <v>0</v>
      </c>
      <c r="S29" s="428">
        <v>0</v>
      </c>
      <c r="T29" s="428">
        <v>21367000000</v>
      </c>
      <c r="U29" s="428">
        <v>0</v>
      </c>
      <c r="V29" s="428">
        <v>17663231834</v>
      </c>
      <c r="W29" s="428">
        <v>3703768166</v>
      </c>
      <c r="X29" s="428">
        <v>13818994191</v>
      </c>
      <c r="Y29" s="428">
        <v>1119391474</v>
      </c>
      <c r="Z29" s="428">
        <v>1071107479</v>
      </c>
      <c r="AA29" s="446">
        <v>993293472</v>
      </c>
      <c r="AB29" s="437"/>
      <c r="AC29" s="437"/>
      <c r="AD29" s="437"/>
    </row>
    <row r="30" spans="1:31" ht="30.6">
      <c r="A30" s="14" t="s">
        <v>33</v>
      </c>
      <c r="B30" s="15" t="s">
        <v>116</v>
      </c>
      <c r="C30" s="16" t="s">
        <v>117</v>
      </c>
      <c r="D30" s="14" t="s">
        <v>76</v>
      </c>
      <c r="E30" s="14" t="s">
        <v>118</v>
      </c>
      <c r="F30" s="14" t="s">
        <v>78</v>
      </c>
      <c r="G30" s="14" t="s">
        <v>119</v>
      </c>
      <c r="H30" s="14" t="s">
        <v>98</v>
      </c>
      <c r="I30" s="14"/>
      <c r="J30" s="14"/>
      <c r="K30" s="14"/>
      <c r="L30" s="14"/>
      <c r="M30" s="14" t="s">
        <v>38</v>
      </c>
      <c r="N30" s="14" t="s">
        <v>72</v>
      </c>
      <c r="O30" s="14" t="s">
        <v>40</v>
      </c>
      <c r="P30" s="15" t="s">
        <v>99</v>
      </c>
      <c r="Q30" s="428">
        <v>13511000000</v>
      </c>
      <c r="R30" s="428">
        <v>0</v>
      </c>
      <c r="S30" s="428">
        <v>0</v>
      </c>
      <c r="T30" s="428">
        <v>13511000000</v>
      </c>
      <c r="U30" s="428">
        <v>0</v>
      </c>
      <c r="V30" s="428">
        <v>262696350</v>
      </c>
      <c r="W30" s="428">
        <v>13248303650</v>
      </c>
      <c r="X30" s="428">
        <v>261686950</v>
      </c>
      <c r="Y30" s="428">
        <v>34319600</v>
      </c>
      <c r="Z30" s="428">
        <v>34319600</v>
      </c>
      <c r="AA30" s="446">
        <v>34319600</v>
      </c>
      <c r="AB30" s="437"/>
      <c r="AC30" s="437"/>
      <c r="AD30" s="437"/>
    </row>
    <row r="31" spans="1:31" ht="30.6">
      <c r="A31" s="14" t="s">
        <v>33</v>
      </c>
      <c r="B31" s="15" t="s">
        <v>34</v>
      </c>
      <c r="C31" s="16" t="s">
        <v>120</v>
      </c>
      <c r="D31" s="14" t="s">
        <v>76</v>
      </c>
      <c r="E31" s="14" t="s">
        <v>118</v>
      </c>
      <c r="F31" s="14" t="s">
        <v>78</v>
      </c>
      <c r="G31" s="14" t="s">
        <v>121</v>
      </c>
      <c r="H31" s="14" t="s">
        <v>98</v>
      </c>
      <c r="I31" s="14"/>
      <c r="J31" s="14"/>
      <c r="K31" s="14"/>
      <c r="L31" s="14"/>
      <c r="M31" s="14" t="s">
        <v>38</v>
      </c>
      <c r="N31" s="14" t="s">
        <v>72</v>
      </c>
      <c r="O31" s="14" t="s">
        <v>40</v>
      </c>
      <c r="P31" s="15" t="s">
        <v>99</v>
      </c>
      <c r="Q31" s="428">
        <v>53000000000</v>
      </c>
      <c r="R31" s="428">
        <v>0</v>
      </c>
      <c r="S31" s="428">
        <v>0</v>
      </c>
      <c r="T31" s="428">
        <v>53000000000</v>
      </c>
      <c r="U31" s="428">
        <v>0</v>
      </c>
      <c r="V31" s="428">
        <v>12607281242.280001</v>
      </c>
      <c r="W31" s="428">
        <v>40392718757.720001</v>
      </c>
      <c r="X31" s="428">
        <v>6181572008.2799997</v>
      </c>
      <c r="Y31" s="428">
        <v>613765868</v>
      </c>
      <c r="Z31" s="428">
        <v>335094380</v>
      </c>
      <c r="AA31" s="446">
        <v>332238383</v>
      </c>
      <c r="AB31" s="437"/>
      <c r="AC31" s="437"/>
      <c r="AD31" s="437"/>
    </row>
    <row r="32" spans="1:31" ht="30.6">
      <c r="A32" s="14" t="s">
        <v>33</v>
      </c>
      <c r="B32" s="15" t="s">
        <v>34</v>
      </c>
      <c r="C32" s="16" t="s">
        <v>122</v>
      </c>
      <c r="D32" s="14" t="s">
        <v>76</v>
      </c>
      <c r="E32" s="14" t="s">
        <v>118</v>
      </c>
      <c r="F32" s="14" t="s">
        <v>78</v>
      </c>
      <c r="G32" s="14" t="s">
        <v>123</v>
      </c>
      <c r="H32" s="14" t="s">
        <v>98</v>
      </c>
      <c r="I32" s="14"/>
      <c r="J32" s="14"/>
      <c r="K32" s="14"/>
      <c r="L32" s="14"/>
      <c r="M32" s="14" t="s">
        <v>38</v>
      </c>
      <c r="N32" s="14" t="s">
        <v>72</v>
      </c>
      <c r="O32" s="14" t="s">
        <v>40</v>
      </c>
      <c r="P32" s="15" t="s">
        <v>99</v>
      </c>
      <c r="Q32" s="428">
        <v>10700000000</v>
      </c>
      <c r="R32" s="428">
        <v>0</v>
      </c>
      <c r="S32" s="428">
        <v>0</v>
      </c>
      <c r="T32" s="428">
        <v>10700000000</v>
      </c>
      <c r="U32" s="428">
        <v>0</v>
      </c>
      <c r="V32" s="428">
        <v>5784699972</v>
      </c>
      <c r="W32" s="428">
        <v>4915300028</v>
      </c>
      <c r="X32" s="428">
        <v>4853295886</v>
      </c>
      <c r="Y32" s="428">
        <v>422420369</v>
      </c>
      <c r="Z32" s="428">
        <v>394098369</v>
      </c>
      <c r="AA32" s="446">
        <v>391938369</v>
      </c>
      <c r="AB32" s="437"/>
      <c r="AC32" s="437"/>
      <c r="AD32" s="437"/>
    </row>
    <row r="33" spans="1:30">
      <c r="A33" s="14" t="s">
        <v>1</v>
      </c>
      <c r="B33" s="15" t="s">
        <v>1</v>
      </c>
      <c r="C33" s="16" t="s">
        <v>1</v>
      </c>
      <c r="D33" s="14" t="s">
        <v>1</v>
      </c>
      <c r="E33" s="14" t="s">
        <v>1</v>
      </c>
      <c r="F33" s="14" t="s">
        <v>1</v>
      </c>
      <c r="G33" s="14" t="s">
        <v>1</v>
      </c>
      <c r="H33" s="14" t="s">
        <v>1</v>
      </c>
      <c r="I33" s="14" t="s">
        <v>1</v>
      </c>
      <c r="J33" s="14" t="s">
        <v>1</v>
      </c>
      <c r="K33" s="14" t="s">
        <v>1</v>
      </c>
      <c r="L33" s="14" t="s">
        <v>1</v>
      </c>
      <c r="M33" s="14" t="s">
        <v>1</v>
      </c>
      <c r="N33" s="14" t="s">
        <v>1</v>
      </c>
      <c r="O33" s="14" t="s">
        <v>1</v>
      </c>
      <c r="P33" s="15" t="s">
        <v>1</v>
      </c>
      <c r="Q33" s="17">
        <f>SUM(Q5:Q32)</f>
        <v>1172911617205</v>
      </c>
      <c r="R33" s="17">
        <f t="shared" ref="R33:AA33" si="0">SUM(R5:R32)</f>
        <v>0</v>
      </c>
      <c r="S33" s="17">
        <f t="shared" si="0"/>
        <v>0</v>
      </c>
      <c r="T33" s="17">
        <f t="shared" si="0"/>
        <v>1172911617205</v>
      </c>
      <c r="U33" s="17">
        <f t="shared" si="0"/>
        <v>38484900000</v>
      </c>
      <c r="V33" s="17">
        <f t="shared" si="0"/>
        <v>840189836072.97998</v>
      </c>
      <c r="W33" s="17">
        <f t="shared" si="0"/>
        <v>294236881132.02002</v>
      </c>
      <c r="X33" s="17">
        <f t="shared" si="0"/>
        <v>722665038870.14001</v>
      </c>
      <c r="Y33" s="17">
        <f t="shared" si="0"/>
        <v>20229378469.75</v>
      </c>
      <c r="Z33" s="17">
        <f t="shared" si="0"/>
        <v>19538670350.75</v>
      </c>
      <c r="AA33" s="434">
        <f t="shared" si="0"/>
        <v>18835079673.75</v>
      </c>
      <c r="AB33" s="440"/>
      <c r="AC33" s="440"/>
      <c r="AD33" s="440"/>
    </row>
    <row r="34" spans="1:30">
      <c r="A34" s="14" t="s">
        <v>1</v>
      </c>
      <c r="B34" s="18" t="s">
        <v>1</v>
      </c>
      <c r="C34" s="16" t="s">
        <v>1</v>
      </c>
      <c r="D34" s="14" t="s">
        <v>1</v>
      </c>
      <c r="E34" s="14" t="s">
        <v>1</v>
      </c>
      <c r="F34" s="14" t="s">
        <v>1</v>
      </c>
      <c r="G34" s="14" t="s">
        <v>1</v>
      </c>
      <c r="H34" s="14" t="s">
        <v>1</v>
      </c>
      <c r="I34" s="14" t="s">
        <v>1</v>
      </c>
      <c r="J34" s="14" t="s">
        <v>1</v>
      </c>
      <c r="K34" s="14" t="s">
        <v>1</v>
      </c>
      <c r="L34" s="14" t="s">
        <v>1</v>
      </c>
      <c r="M34" s="14" t="s">
        <v>1</v>
      </c>
      <c r="N34" s="14" t="s">
        <v>1</v>
      </c>
      <c r="O34" s="14" t="s">
        <v>1</v>
      </c>
      <c r="P34" s="15" t="s">
        <v>1</v>
      </c>
      <c r="Q34" s="19" t="s">
        <v>1</v>
      </c>
      <c r="R34" s="19" t="s">
        <v>1</v>
      </c>
      <c r="S34" s="19" t="s">
        <v>1</v>
      </c>
      <c r="T34" s="19" t="s">
        <v>1</v>
      </c>
      <c r="U34" s="19" t="s">
        <v>1</v>
      </c>
      <c r="V34" s="19" t="s">
        <v>1</v>
      </c>
      <c r="W34" s="19" t="s">
        <v>1</v>
      </c>
      <c r="X34" s="19" t="s">
        <v>1</v>
      </c>
      <c r="Y34" s="19" t="s">
        <v>1</v>
      </c>
      <c r="Z34" s="19" t="s">
        <v>1</v>
      </c>
      <c r="AA34" s="435" t="s">
        <v>1</v>
      </c>
    </row>
    <row r="35" spans="1:30" ht="0" hidden="1" customHeight="1"/>
    <row r="36" spans="1:30" ht="33.9" customHeight="1"/>
    <row r="37" spans="1:30">
      <c r="P37" s="10" t="s">
        <v>124</v>
      </c>
      <c r="Q37" s="20">
        <f>SUM(Q5:Q16)</f>
        <v>128808300000</v>
      </c>
      <c r="R37" s="20">
        <f t="shared" ref="R37:AA37" si="1">SUM(R5:R16)</f>
        <v>0</v>
      </c>
      <c r="S37" s="20">
        <f t="shared" si="1"/>
        <v>0</v>
      </c>
      <c r="T37" s="20">
        <f t="shared" si="1"/>
        <v>128808300000</v>
      </c>
      <c r="U37" s="20">
        <f t="shared" si="1"/>
        <v>8484900000</v>
      </c>
      <c r="V37" s="20">
        <f t="shared" si="1"/>
        <v>110334097220.7</v>
      </c>
      <c r="W37" s="20">
        <f t="shared" si="1"/>
        <v>9989302779.2999992</v>
      </c>
      <c r="X37" s="20">
        <f t="shared" si="1"/>
        <v>34321030852.860001</v>
      </c>
      <c r="Y37" s="20">
        <f t="shared" si="1"/>
        <v>12945471186.75</v>
      </c>
      <c r="Z37" s="20">
        <f t="shared" si="1"/>
        <v>12860311807.75</v>
      </c>
      <c r="AA37" s="20">
        <f t="shared" si="1"/>
        <v>12568611429.75</v>
      </c>
    </row>
    <row r="38" spans="1:30">
      <c r="P38" s="10" t="s">
        <v>125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</row>
    <row r="39" spans="1:30">
      <c r="P39" s="10" t="s">
        <v>126</v>
      </c>
      <c r="Q39" s="20">
        <f>SUM(Q17:Q32)</f>
        <v>1044103317205</v>
      </c>
      <c r="R39" s="20">
        <f t="shared" ref="R39:AA39" si="2">SUM(R17:R32)</f>
        <v>0</v>
      </c>
      <c r="S39" s="20">
        <f t="shared" si="2"/>
        <v>0</v>
      </c>
      <c r="T39" s="20">
        <f t="shared" si="2"/>
        <v>1044103317205</v>
      </c>
      <c r="U39" s="20">
        <f t="shared" si="2"/>
        <v>30000000000</v>
      </c>
      <c r="V39" s="20">
        <f t="shared" si="2"/>
        <v>729855738852.28003</v>
      </c>
      <c r="W39" s="20">
        <f t="shared" si="2"/>
        <v>284247578352.71997</v>
      </c>
      <c r="X39" s="20">
        <f t="shared" si="2"/>
        <v>688344008017.28003</v>
      </c>
      <c r="Y39" s="20">
        <f t="shared" si="2"/>
        <v>7283907283</v>
      </c>
      <c r="Z39" s="20">
        <f t="shared" si="2"/>
        <v>6678358543</v>
      </c>
      <c r="AA39" s="20">
        <f t="shared" si="2"/>
        <v>6266468244</v>
      </c>
    </row>
    <row r="40" spans="1:30">
      <c r="P40" s="10" t="s">
        <v>127</v>
      </c>
      <c r="Q40" s="21">
        <f>+Q37+Q38+Q39</f>
        <v>1172911617205</v>
      </c>
      <c r="R40" s="21">
        <f t="shared" ref="R40:AA40" si="3">+R37+R38+R39</f>
        <v>0</v>
      </c>
      <c r="S40" s="21">
        <f t="shared" si="3"/>
        <v>0</v>
      </c>
      <c r="T40" s="21">
        <f t="shared" si="3"/>
        <v>1172911617205</v>
      </c>
      <c r="U40" s="21">
        <f t="shared" si="3"/>
        <v>38484900000</v>
      </c>
      <c r="V40" s="21">
        <f t="shared" si="3"/>
        <v>840189836072.97998</v>
      </c>
      <c r="W40" s="21">
        <f t="shared" si="3"/>
        <v>294236881132.01996</v>
      </c>
      <c r="X40" s="21">
        <f t="shared" si="3"/>
        <v>722665038870.14001</v>
      </c>
      <c r="Y40" s="21">
        <f t="shared" si="3"/>
        <v>20229378469.75</v>
      </c>
      <c r="Z40" s="21">
        <f t="shared" si="3"/>
        <v>19538670350.75</v>
      </c>
      <c r="AA40" s="21">
        <f t="shared" si="3"/>
        <v>18835079673.75</v>
      </c>
    </row>
    <row r="42" spans="1:30">
      <c r="Q42" s="22">
        <f>+Q33-Q40</f>
        <v>0</v>
      </c>
      <c r="R42" s="22">
        <f t="shared" ref="R42:AA42" si="4">+R33-R40</f>
        <v>0</v>
      </c>
      <c r="S42" s="22">
        <f t="shared" si="4"/>
        <v>0</v>
      </c>
      <c r="T42" s="22">
        <f t="shared" si="4"/>
        <v>0</v>
      </c>
      <c r="U42" s="22">
        <f t="shared" si="4"/>
        <v>0</v>
      </c>
      <c r="V42" s="22">
        <f t="shared" si="4"/>
        <v>0</v>
      </c>
      <c r="W42" s="22">
        <f t="shared" si="4"/>
        <v>0</v>
      </c>
      <c r="X42" s="22">
        <f t="shared" si="4"/>
        <v>0</v>
      </c>
      <c r="Y42" s="22">
        <f t="shared" si="4"/>
        <v>0</v>
      </c>
      <c r="Z42" s="22">
        <f t="shared" si="4"/>
        <v>0</v>
      </c>
      <c r="AA42" s="22">
        <f t="shared" si="4"/>
        <v>0</v>
      </c>
    </row>
    <row r="45" spans="1:30"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</row>
    <row r="47" spans="1:30">
      <c r="T47" s="24"/>
      <c r="U47" s="24"/>
      <c r="V47" s="24"/>
      <c r="W47" s="24"/>
      <c r="X47" s="24"/>
      <c r="Y47" s="24"/>
      <c r="Z47" s="24"/>
      <c r="AA47" s="24"/>
    </row>
    <row r="51" spans="20:20">
      <c r="T51" s="20"/>
    </row>
  </sheetData>
  <autoFilter ref="A4:AB4"/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"/>
  <sheetViews>
    <sheetView workbookViewId="0">
      <pane ySplit="1" topLeftCell="A2" activePane="bottomLeft" state="frozen"/>
      <selection activeCell="I1" sqref="I1"/>
      <selection pane="bottomLeft" activeCell="R139" sqref="R139"/>
    </sheetView>
  </sheetViews>
  <sheetFormatPr baseColWidth="10" defaultColWidth="11.44140625" defaultRowHeight="14.4"/>
  <cols>
    <col min="7" max="7" width="46.33203125" customWidth="1"/>
    <col min="8" max="8" width="25.109375" customWidth="1"/>
    <col min="9" max="9" width="18.44140625" customWidth="1"/>
    <col min="14" max="14" width="20.44140625" bestFit="1" customWidth="1"/>
    <col min="15" max="15" width="24.88671875" customWidth="1"/>
    <col min="16" max="16" width="19.6640625" bestFit="1" customWidth="1"/>
    <col min="17" max="17" width="22.88671875" customWidth="1"/>
    <col min="18" max="18" width="19" customWidth="1"/>
    <col min="19" max="19" width="23.5546875" customWidth="1"/>
    <col min="20" max="20" width="22.33203125" customWidth="1"/>
    <col min="21" max="21" width="41.5546875" bestFit="1" customWidth="1"/>
    <col min="22" max="22" width="37.44140625" bestFit="1" customWidth="1"/>
    <col min="23" max="23" width="15" customWidth="1"/>
    <col min="24" max="24" width="12.44140625" customWidth="1"/>
  </cols>
  <sheetData>
    <row r="1" spans="1:24" ht="20.25" customHeight="1">
      <c r="A1" s="82" t="s">
        <v>128</v>
      </c>
      <c r="B1" s="82" t="s">
        <v>129</v>
      </c>
      <c r="C1" s="82" t="s">
        <v>130</v>
      </c>
      <c r="D1" s="82" t="s">
        <v>131</v>
      </c>
      <c r="E1" s="82" t="s">
        <v>132</v>
      </c>
      <c r="F1" s="82" t="s">
        <v>133</v>
      </c>
      <c r="G1" s="82" t="s">
        <v>134</v>
      </c>
      <c r="H1" s="82" t="s">
        <v>135</v>
      </c>
      <c r="I1" s="82" t="s">
        <v>21</v>
      </c>
      <c r="J1" s="82" t="s">
        <v>18</v>
      </c>
      <c r="K1" s="82" t="s">
        <v>19</v>
      </c>
      <c r="L1" s="82" t="s">
        <v>136</v>
      </c>
      <c r="M1" s="82" t="s">
        <v>20</v>
      </c>
      <c r="N1" s="83" t="s">
        <v>142</v>
      </c>
      <c r="O1" s="83" t="s">
        <v>27</v>
      </c>
      <c r="P1" s="83" t="s">
        <v>143</v>
      </c>
      <c r="Q1" s="83" t="s">
        <v>29</v>
      </c>
      <c r="R1" s="83" t="s">
        <v>30</v>
      </c>
      <c r="S1" s="83" t="s">
        <v>31</v>
      </c>
      <c r="T1" s="83" t="s">
        <v>32</v>
      </c>
      <c r="U1" s="83" t="s">
        <v>145</v>
      </c>
      <c r="V1" s="83" t="s">
        <v>146</v>
      </c>
      <c r="W1" s="84" t="s">
        <v>147</v>
      </c>
      <c r="X1" s="84" t="s">
        <v>148</v>
      </c>
    </row>
    <row r="2" spans="1:24" ht="12.75" customHeight="1">
      <c r="A2" s="78" t="s">
        <v>149</v>
      </c>
      <c r="B2" s="79">
        <v>2024</v>
      </c>
      <c r="C2" s="78" t="s">
        <v>3</v>
      </c>
      <c r="D2" s="78" t="s">
        <v>33</v>
      </c>
      <c r="E2" s="78" t="s">
        <v>116</v>
      </c>
      <c r="F2" s="78" t="s">
        <v>150</v>
      </c>
      <c r="G2" s="78" t="s">
        <v>151</v>
      </c>
      <c r="H2" s="78" t="s">
        <v>96</v>
      </c>
      <c r="I2" s="78" t="s">
        <v>99</v>
      </c>
      <c r="J2" s="78" t="s">
        <v>38</v>
      </c>
      <c r="K2" s="78" t="s">
        <v>39</v>
      </c>
      <c r="L2" s="78" t="s">
        <v>152</v>
      </c>
      <c r="M2" s="78" t="s">
        <v>40</v>
      </c>
      <c r="N2" s="80">
        <v>30000000000</v>
      </c>
      <c r="O2" s="80">
        <v>0</v>
      </c>
      <c r="P2" s="80">
        <v>0</v>
      </c>
      <c r="Q2" s="80">
        <v>0</v>
      </c>
      <c r="R2" s="80">
        <v>0</v>
      </c>
      <c r="S2" s="80">
        <v>0</v>
      </c>
      <c r="T2" s="80">
        <v>0</v>
      </c>
      <c r="U2" s="80">
        <v>0</v>
      </c>
      <c r="V2" s="80">
        <v>0</v>
      </c>
      <c r="W2" t="s">
        <v>684</v>
      </c>
      <c r="X2" t="s">
        <v>76</v>
      </c>
    </row>
    <row r="3" spans="1:24" ht="12.75" customHeight="1">
      <c r="A3" s="78" t="s">
        <v>153</v>
      </c>
      <c r="B3" s="79">
        <v>2024</v>
      </c>
      <c r="C3" s="78" t="s">
        <v>3</v>
      </c>
      <c r="D3" s="78" t="s">
        <v>33</v>
      </c>
      <c r="E3" s="78" t="s">
        <v>116</v>
      </c>
      <c r="F3" s="78" t="s">
        <v>150</v>
      </c>
      <c r="G3" s="78" t="s">
        <v>151</v>
      </c>
      <c r="H3" s="78" t="s">
        <v>82</v>
      </c>
      <c r="I3" s="78" t="s">
        <v>81</v>
      </c>
      <c r="J3" s="78" t="s">
        <v>38</v>
      </c>
      <c r="K3" s="78" t="s">
        <v>84</v>
      </c>
      <c r="L3" s="78" t="s">
        <v>152</v>
      </c>
      <c r="M3" s="78" t="s">
        <v>40</v>
      </c>
      <c r="N3" s="2">
        <v>8000000000</v>
      </c>
      <c r="O3" s="81">
        <v>0</v>
      </c>
      <c r="P3" s="81">
        <v>8000000000</v>
      </c>
      <c r="Q3" s="81">
        <v>0</v>
      </c>
      <c r="R3" s="81">
        <v>0</v>
      </c>
      <c r="S3" s="81">
        <v>0</v>
      </c>
      <c r="T3" s="81">
        <v>0</v>
      </c>
      <c r="U3" s="81">
        <v>0</v>
      </c>
      <c r="V3" s="81">
        <v>0</v>
      </c>
      <c r="W3" t="s">
        <v>685</v>
      </c>
      <c r="X3" t="s">
        <v>76</v>
      </c>
    </row>
    <row r="4" spans="1:24" ht="12.75" customHeight="1">
      <c r="A4" s="78" t="s">
        <v>708</v>
      </c>
      <c r="B4" s="79">
        <v>2024</v>
      </c>
      <c r="C4" s="78" t="s">
        <v>3</v>
      </c>
      <c r="D4" s="78" t="s">
        <v>33</v>
      </c>
      <c r="E4" s="78" t="s">
        <v>116</v>
      </c>
      <c r="F4" s="78" t="s">
        <v>150</v>
      </c>
      <c r="G4" s="78" t="s">
        <v>151</v>
      </c>
      <c r="H4" s="78" t="s">
        <v>75</v>
      </c>
      <c r="I4" s="78" t="s">
        <v>81</v>
      </c>
      <c r="J4" s="78" t="s">
        <v>38</v>
      </c>
      <c r="K4" s="78" t="s">
        <v>39</v>
      </c>
      <c r="L4" s="78" t="s">
        <v>152</v>
      </c>
      <c r="M4" s="78" t="s">
        <v>40</v>
      </c>
      <c r="N4" s="80">
        <v>4100000000</v>
      </c>
      <c r="O4" s="80">
        <v>4100000000</v>
      </c>
      <c r="P4" s="80">
        <v>0</v>
      </c>
      <c r="Q4" s="80">
        <v>0</v>
      </c>
      <c r="R4" s="80">
        <v>0</v>
      </c>
      <c r="S4" s="80">
        <v>0</v>
      </c>
      <c r="T4" s="80">
        <v>0</v>
      </c>
      <c r="U4" s="80">
        <v>0</v>
      </c>
      <c r="V4" s="80">
        <v>0</v>
      </c>
      <c r="W4" t="s">
        <v>686</v>
      </c>
      <c r="X4" t="s">
        <v>76</v>
      </c>
    </row>
    <row r="5" spans="1:24" ht="12.75" customHeight="1">
      <c r="A5" s="78" t="s">
        <v>708</v>
      </c>
      <c r="B5" s="79">
        <v>2024</v>
      </c>
      <c r="C5" s="78" t="s">
        <v>3</v>
      </c>
      <c r="D5" s="78" t="s">
        <v>154</v>
      </c>
      <c r="E5" s="78" t="s">
        <v>151</v>
      </c>
      <c r="F5" s="78" t="s">
        <v>155</v>
      </c>
      <c r="G5" s="78" t="s">
        <v>156</v>
      </c>
      <c r="H5" s="78" t="s">
        <v>163</v>
      </c>
      <c r="I5" s="78" t="s">
        <v>164</v>
      </c>
      <c r="J5" s="78" t="s">
        <v>38</v>
      </c>
      <c r="K5" s="78" t="s">
        <v>72</v>
      </c>
      <c r="L5" s="78" t="s">
        <v>165</v>
      </c>
      <c r="M5" s="78" t="s">
        <v>40</v>
      </c>
      <c r="N5" s="80">
        <v>200000000</v>
      </c>
      <c r="O5" s="80">
        <v>200000000</v>
      </c>
      <c r="P5" s="80">
        <v>0</v>
      </c>
      <c r="Q5" s="80">
        <v>0</v>
      </c>
      <c r="R5" s="80">
        <v>0</v>
      </c>
      <c r="S5" s="80">
        <v>0</v>
      </c>
      <c r="T5" s="80">
        <v>0</v>
      </c>
      <c r="U5" s="80">
        <v>0</v>
      </c>
      <c r="V5" s="80">
        <v>0</v>
      </c>
      <c r="W5" t="s">
        <v>687</v>
      </c>
      <c r="X5" t="s">
        <v>76</v>
      </c>
    </row>
    <row r="6" spans="1:24" ht="12.75" customHeight="1">
      <c r="A6" s="78" t="s">
        <v>708</v>
      </c>
      <c r="B6" s="79">
        <v>2024</v>
      </c>
      <c r="C6" s="78" t="s">
        <v>3</v>
      </c>
      <c r="D6" s="78" t="s">
        <v>154</v>
      </c>
      <c r="E6" s="78" t="s">
        <v>151</v>
      </c>
      <c r="F6" s="78" t="s">
        <v>166</v>
      </c>
      <c r="G6" s="78" t="s">
        <v>167</v>
      </c>
      <c r="H6" s="78" t="s">
        <v>168</v>
      </c>
      <c r="I6" s="78" t="s">
        <v>169</v>
      </c>
      <c r="J6" s="78" t="s">
        <v>38</v>
      </c>
      <c r="K6" s="78" t="s">
        <v>72</v>
      </c>
      <c r="L6" s="78" t="s">
        <v>165</v>
      </c>
      <c r="M6" s="78" t="s">
        <v>40</v>
      </c>
      <c r="N6" s="80">
        <v>494748000</v>
      </c>
      <c r="O6" s="80">
        <v>417060000</v>
      </c>
      <c r="P6" s="80">
        <v>77688000</v>
      </c>
      <c r="Q6" s="80">
        <v>65901600</v>
      </c>
      <c r="R6" s="80">
        <v>7387200</v>
      </c>
      <c r="S6" s="80">
        <v>7387200</v>
      </c>
      <c r="T6" s="80">
        <v>7387200</v>
      </c>
      <c r="U6" s="80">
        <v>0</v>
      </c>
      <c r="V6" s="80">
        <v>0</v>
      </c>
      <c r="W6" t="s">
        <v>688</v>
      </c>
      <c r="X6" t="s">
        <v>76</v>
      </c>
    </row>
    <row r="7" spans="1:24" ht="12.75" customHeight="1">
      <c r="A7" s="78" t="s">
        <v>708</v>
      </c>
      <c r="B7" s="79">
        <v>2024</v>
      </c>
      <c r="C7" s="78" t="s">
        <v>3</v>
      </c>
      <c r="D7" s="78" t="s">
        <v>154</v>
      </c>
      <c r="E7" s="78" t="s">
        <v>151</v>
      </c>
      <c r="F7" s="78" t="s">
        <v>170</v>
      </c>
      <c r="G7" s="78" t="s">
        <v>171</v>
      </c>
      <c r="H7" s="78" t="s">
        <v>172</v>
      </c>
      <c r="I7" s="78" t="s">
        <v>173</v>
      </c>
      <c r="J7" s="78" t="s">
        <v>38</v>
      </c>
      <c r="K7" s="78" t="s">
        <v>72</v>
      </c>
      <c r="L7" s="78" t="s">
        <v>165</v>
      </c>
      <c r="M7" s="78" t="s">
        <v>40</v>
      </c>
      <c r="N7" s="80">
        <v>1762311982</v>
      </c>
      <c r="O7" s="80">
        <v>1762311982</v>
      </c>
      <c r="P7" s="80">
        <v>0</v>
      </c>
      <c r="Q7" s="80">
        <v>1082080282</v>
      </c>
      <c r="R7" s="80">
        <v>76288639</v>
      </c>
      <c r="S7" s="80">
        <v>76288639</v>
      </c>
      <c r="T7" s="80">
        <v>73432642</v>
      </c>
      <c r="U7" s="80">
        <v>0</v>
      </c>
      <c r="V7" s="80">
        <v>0</v>
      </c>
      <c r="W7" t="s">
        <v>689</v>
      </c>
      <c r="X7" t="s">
        <v>76</v>
      </c>
    </row>
    <row r="8" spans="1:24" ht="12.75" customHeight="1">
      <c r="A8" s="78" t="s">
        <v>708</v>
      </c>
      <c r="B8" s="79">
        <v>2024</v>
      </c>
      <c r="C8" s="78" t="s">
        <v>3</v>
      </c>
      <c r="D8" s="78" t="s">
        <v>154</v>
      </c>
      <c r="E8" s="78" t="s">
        <v>151</v>
      </c>
      <c r="F8" s="78" t="s">
        <v>170</v>
      </c>
      <c r="G8" s="78" t="s">
        <v>171</v>
      </c>
      <c r="H8" s="78" t="s">
        <v>174</v>
      </c>
      <c r="I8" s="78" t="s">
        <v>175</v>
      </c>
      <c r="J8" s="78" t="s">
        <v>38</v>
      </c>
      <c r="K8" s="78" t="s">
        <v>72</v>
      </c>
      <c r="L8" s="78" t="s">
        <v>165</v>
      </c>
      <c r="M8" s="78" t="s">
        <v>40</v>
      </c>
      <c r="N8" s="80">
        <v>500856000</v>
      </c>
      <c r="O8" s="80">
        <v>500856000</v>
      </c>
      <c r="P8" s="80">
        <v>0</v>
      </c>
      <c r="Q8" s="80">
        <v>496777997</v>
      </c>
      <c r="R8" s="80">
        <v>45047994</v>
      </c>
      <c r="S8" s="80">
        <v>45047994</v>
      </c>
      <c r="T8" s="80">
        <v>45047994</v>
      </c>
      <c r="U8" s="80">
        <v>0</v>
      </c>
      <c r="V8" s="80">
        <v>0</v>
      </c>
      <c r="W8" t="s">
        <v>689</v>
      </c>
      <c r="X8" t="s">
        <v>76</v>
      </c>
    </row>
    <row r="9" spans="1:24" ht="12.75" customHeight="1">
      <c r="A9" s="78" t="s">
        <v>708</v>
      </c>
      <c r="B9" s="79">
        <v>2024</v>
      </c>
      <c r="C9" s="78" t="s">
        <v>3</v>
      </c>
      <c r="D9" s="78" t="s">
        <v>154</v>
      </c>
      <c r="E9" s="78" t="s">
        <v>151</v>
      </c>
      <c r="F9" s="78" t="s">
        <v>170</v>
      </c>
      <c r="G9" s="78" t="s">
        <v>171</v>
      </c>
      <c r="H9" s="78" t="s">
        <v>176</v>
      </c>
      <c r="I9" s="78" t="s">
        <v>177</v>
      </c>
      <c r="J9" s="78" t="s">
        <v>38</v>
      </c>
      <c r="K9" s="78" t="s">
        <v>72</v>
      </c>
      <c r="L9" s="78" t="s">
        <v>165</v>
      </c>
      <c r="M9" s="78" t="s">
        <v>40</v>
      </c>
      <c r="N9" s="80">
        <v>50736832018</v>
      </c>
      <c r="O9" s="80">
        <v>10344113260.280001</v>
      </c>
      <c r="P9" s="80">
        <v>40392718757.720001</v>
      </c>
      <c r="Q9" s="80">
        <v>4602713729.2799997</v>
      </c>
      <c r="R9" s="80">
        <v>492429235</v>
      </c>
      <c r="S9" s="80">
        <v>489509235</v>
      </c>
      <c r="T9" s="80">
        <v>213757747</v>
      </c>
      <c r="U9" s="80">
        <v>0</v>
      </c>
      <c r="V9" s="80">
        <v>0</v>
      </c>
      <c r="W9" t="s">
        <v>689</v>
      </c>
      <c r="X9" t="s">
        <v>76</v>
      </c>
    </row>
    <row r="10" spans="1:24" ht="12.75" customHeight="1">
      <c r="A10" s="78" t="s">
        <v>708</v>
      </c>
      <c r="B10" s="79">
        <v>2024</v>
      </c>
      <c r="C10" s="78" t="s">
        <v>3</v>
      </c>
      <c r="D10" s="78" t="s">
        <v>154</v>
      </c>
      <c r="E10" s="78" t="s">
        <v>151</v>
      </c>
      <c r="F10" s="78" t="s">
        <v>178</v>
      </c>
      <c r="G10" s="78" t="s">
        <v>179</v>
      </c>
      <c r="H10" s="78" t="s">
        <v>168</v>
      </c>
      <c r="I10" s="78" t="s">
        <v>169</v>
      </c>
      <c r="J10" s="78" t="s">
        <v>38</v>
      </c>
      <c r="K10" s="78" t="s">
        <v>72</v>
      </c>
      <c r="L10" s="78" t="s">
        <v>165</v>
      </c>
      <c r="M10" s="78" t="s">
        <v>40</v>
      </c>
      <c r="N10" s="80">
        <v>1096859325</v>
      </c>
      <c r="O10" s="80">
        <v>694662650</v>
      </c>
      <c r="P10" s="80">
        <v>402196675</v>
      </c>
      <c r="Q10" s="80">
        <v>363933315</v>
      </c>
      <c r="R10" s="80">
        <v>34453325</v>
      </c>
      <c r="S10" s="80">
        <v>24453325</v>
      </c>
      <c r="T10" s="80">
        <v>24453325</v>
      </c>
      <c r="U10" s="80">
        <v>0</v>
      </c>
      <c r="V10" s="80">
        <v>0</v>
      </c>
      <c r="W10" t="s">
        <v>688</v>
      </c>
      <c r="X10" t="s">
        <v>76</v>
      </c>
    </row>
    <row r="11" spans="1:24" ht="12.75" customHeight="1">
      <c r="A11" s="78" t="s">
        <v>708</v>
      </c>
      <c r="B11" s="79">
        <v>2024</v>
      </c>
      <c r="C11" s="78" t="s">
        <v>3</v>
      </c>
      <c r="D11" s="78" t="s">
        <v>154</v>
      </c>
      <c r="E11" s="78" t="s">
        <v>151</v>
      </c>
      <c r="F11" s="78" t="s">
        <v>184</v>
      </c>
      <c r="G11" s="78" t="s">
        <v>185</v>
      </c>
      <c r="H11" s="78" t="s">
        <v>186</v>
      </c>
      <c r="I11" s="78" t="s">
        <v>187</v>
      </c>
      <c r="J11" s="78" t="s">
        <v>38</v>
      </c>
      <c r="K11" s="78" t="s">
        <v>72</v>
      </c>
      <c r="L11" s="78" t="s">
        <v>165</v>
      </c>
      <c r="M11" s="78" t="s">
        <v>40</v>
      </c>
      <c r="N11" s="80">
        <v>504576000</v>
      </c>
      <c r="O11" s="80">
        <v>504576000</v>
      </c>
      <c r="P11" s="80">
        <v>0</v>
      </c>
      <c r="Q11" s="80">
        <v>504576000</v>
      </c>
      <c r="R11" s="80">
        <v>53728000</v>
      </c>
      <c r="S11" s="80">
        <v>53728000</v>
      </c>
      <c r="T11" s="80">
        <v>44968000</v>
      </c>
      <c r="U11" s="80">
        <v>0</v>
      </c>
      <c r="V11" s="80">
        <v>0</v>
      </c>
      <c r="W11" t="s">
        <v>688</v>
      </c>
      <c r="X11" t="s">
        <v>76</v>
      </c>
    </row>
    <row r="12" spans="1:24" ht="12.75" customHeight="1">
      <c r="A12" s="78" t="s">
        <v>708</v>
      </c>
      <c r="B12" s="79">
        <v>2024</v>
      </c>
      <c r="C12" s="78" t="s">
        <v>3</v>
      </c>
      <c r="D12" s="78" t="s">
        <v>154</v>
      </c>
      <c r="E12" s="78" t="s">
        <v>151</v>
      </c>
      <c r="F12" s="78" t="s">
        <v>188</v>
      </c>
      <c r="G12" s="78" t="s">
        <v>189</v>
      </c>
      <c r="H12" s="78" t="s">
        <v>163</v>
      </c>
      <c r="I12" s="78" t="s">
        <v>164</v>
      </c>
      <c r="J12" s="78" t="s">
        <v>38</v>
      </c>
      <c r="K12" s="78" t="s">
        <v>72</v>
      </c>
      <c r="L12" s="78" t="s">
        <v>165</v>
      </c>
      <c r="M12" s="78" t="s">
        <v>40</v>
      </c>
      <c r="N12" s="80">
        <v>696023500</v>
      </c>
      <c r="O12" s="80">
        <v>0</v>
      </c>
      <c r="P12" s="80">
        <v>696023500</v>
      </c>
      <c r="Q12" s="80"/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t="s">
        <v>687</v>
      </c>
      <c r="X12" t="s">
        <v>76</v>
      </c>
    </row>
    <row r="13" spans="1:24" ht="12.75" customHeight="1">
      <c r="A13" s="78" t="s">
        <v>708</v>
      </c>
      <c r="B13" s="79">
        <v>2024</v>
      </c>
      <c r="C13" s="78" t="s">
        <v>3</v>
      </c>
      <c r="D13" s="78" t="s">
        <v>154</v>
      </c>
      <c r="E13" s="78" t="s">
        <v>151</v>
      </c>
      <c r="F13" s="78" t="s">
        <v>188</v>
      </c>
      <c r="G13" s="78" t="s">
        <v>189</v>
      </c>
      <c r="H13" s="78" t="s">
        <v>190</v>
      </c>
      <c r="I13" s="78" t="s">
        <v>191</v>
      </c>
      <c r="J13" s="78" t="s">
        <v>38</v>
      </c>
      <c r="K13" s="78" t="s">
        <v>72</v>
      </c>
      <c r="L13" s="78" t="s">
        <v>165</v>
      </c>
      <c r="M13" s="78" t="s">
        <v>40</v>
      </c>
      <c r="N13" s="80">
        <v>1184557500</v>
      </c>
      <c r="O13" s="80">
        <v>905675400</v>
      </c>
      <c r="P13" s="80">
        <v>278882100</v>
      </c>
      <c r="Q13" s="80">
        <v>383214400</v>
      </c>
      <c r="R13" s="80">
        <v>40900900</v>
      </c>
      <c r="S13" s="80">
        <v>40900900</v>
      </c>
      <c r="T13" s="80">
        <v>19783900</v>
      </c>
      <c r="U13" s="80">
        <v>0</v>
      </c>
      <c r="V13" s="80">
        <v>0</v>
      </c>
      <c r="W13" t="s">
        <v>687</v>
      </c>
      <c r="X13" t="s">
        <v>76</v>
      </c>
    </row>
    <row r="14" spans="1:24" ht="12.75" customHeight="1">
      <c r="A14" s="78" t="s">
        <v>708</v>
      </c>
      <c r="B14" s="79">
        <v>2024</v>
      </c>
      <c r="C14" s="78" t="s">
        <v>3</v>
      </c>
      <c r="D14" s="78" t="s">
        <v>154</v>
      </c>
      <c r="E14" s="78" t="s">
        <v>151</v>
      </c>
      <c r="F14" s="78" t="s">
        <v>188</v>
      </c>
      <c r="G14" s="78" t="s">
        <v>189</v>
      </c>
      <c r="H14" s="78" t="s">
        <v>192</v>
      </c>
      <c r="I14" s="78" t="s">
        <v>193</v>
      </c>
      <c r="J14" s="78" t="s">
        <v>38</v>
      </c>
      <c r="K14" s="78" t="s">
        <v>72</v>
      </c>
      <c r="L14" s="78" t="s">
        <v>165</v>
      </c>
      <c r="M14" s="78" t="s">
        <v>40</v>
      </c>
      <c r="N14" s="80">
        <v>1843800000</v>
      </c>
      <c r="O14" s="80">
        <v>1725766208</v>
      </c>
      <c r="P14" s="80">
        <v>118033792</v>
      </c>
      <c r="Q14" s="80">
        <v>1288348808</v>
      </c>
      <c r="R14" s="80">
        <v>149322800</v>
      </c>
      <c r="S14" s="80">
        <v>149322800</v>
      </c>
      <c r="T14" s="80">
        <v>136887400</v>
      </c>
      <c r="U14" s="80">
        <v>0</v>
      </c>
      <c r="V14" s="80">
        <v>0</v>
      </c>
      <c r="W14" t="s">
        <v>687</v>
      </c>
      <c r="X14" t="s">
        <v>76</v>
      </c>
    </row>
    <row r="15" spans="1:24" ht="12.75" customHeight="1">
      <c r="A15" s="78" t="s">
        <v>708</v>
      </c>
      <c r="B15" s="79">
        <v>2024</v>
      </c>
      <c r="C15" s="78" t="s">
        <v>3</v>
      </c>
      <c r="D15" s="78" t="s">
        <v>154</v>
      </c>
      <c r="E15" s="78" t="s">
        <v>151</v>
      </c>
      <c r="F15" s="78" t="s">
        <v>194</v>
      </c>
      <c r="G15" s="78" t="s">
        <v>195</v>
      </c>
      <c r="H15" s="78" t="s">
        <v>186</v>
      </c>
      <c r="I15" s="78" t="s">
        <v>187</v>
      </c>
      <c r="J15" s="78" t="s">
        <v>38</v>
      </c>
      <c r="K15" s="78" t="s">
        <v>72</v>
      </c>
      <c r="L15" s="78" t="s">
        <v>165</v>
      </c>
      <c r="M15" s="78" t="s">
        <v>40</v>
      </c>
      <c r="N15" s="80">
        <v>2454131000</v>
      </c>
      <c r="O15" s="80">
        <v>1832041334</v>
      </c>
      <c r="P15" s="80">
        <v>622089666</v>
      </c>
      <c r="Q15" s="80">
        <v>1643297200</v>
      </c>
      <c r="R15" s="80">
        <v>126897199</v>
      </c>
      <c r="S15" s="80">
        <v>126897199</v>
      </c>
      <c r="T15" s="80">
        <v>124737199</v>
      </c>
      <c r="U15" s="80">
        <v>0</v>
      </c>
      <c r="V15" s="80">
        <v>0</v>
      </c>
      <c r="W15" t="s">
        <v>688</v>
      </c>
      <c r="X15" t="s">
        <v>76</v>
      </c>
    </row>
    <row r="16" spans="1:24" ht="12.75" customHeight="1">
      <c r="A16" s="78" t="s">
        <v>708</v>
      </c>
      <c r="B16" s="79">
        <v>2024</v>
      </c>
      <c r="C16" s="78" t="s">
        <v>3</v>
      </c>
      <c r="D16" s="78" t="s">
        <v>154</v>
      </c>
      <c r="E16" s="78" t="s">
        <v>151</v>
      </c>
      <c r="F16" s="78" t="s">
        <v>196</v>
      </c>
      <c r="G16" s="78" t="s">
        <v>197</v>
      </c>
      <c r="H16" s="78" t="s">
        <v>198</v>
      </c>
      <c r="I16" s="78" t="s">
        <v>199</v>
      </c>
      <c r="J16" s="78" t="s">
        <v>38</v>
      </c>
      <c r="K16" s="78" t="s">
        <v>72</v>
      </c>
      <c r="L16" s="78" t="s">
        <v>165</v>
      </c>
      <c r="M16" s="78" t="s">
        <v>40</v>
      </c>
      <c r="N16" s="80">
        <v>822016935</v>
      </c>
      <c r="O16" s="80">
        <v>822016935</v>
      </c>
      <c r="P16" s="80">
        <v>0</v>
      </c>
      <c r="Q16" s="80">
        <v>691371933</v>
      </c>
      <c r="R16" s="80">
        <v>66259337</v>
      </c>
      <c r="S16" s="80">
        <v>66259337</v>
      </c>
      <c r="T16" s="80">
        <v>51968337</v>
      </c>
      <c r="U16" s="80">
        <v>0</v>
      </c>
      <c r="V16" s="80">
        <v>0</v>
      </c>
      <c r="W16" t="s">
        <v>690</v>
      </c>
      <c r="X16" t="s">
        <v>76</v>
      </c>
    </row>
    <row r="17" spans="1:24" ht="12.75" customHeight="1">
      <c r="A17" s="78" t="s">
        <v>708</v>
      </c>
      <c r="B17" s="79">
        <v>2024</v>
      </c>
      <c r="C17" s="78" t="s">
        <v>3</v>
      </c>
      <c r="D17" s="78" t="s">
        <v>154</v>
      </c>
      <c r="E17" s="78" t="s">
        <v>151</v>
      </c>
      <c r="F17" s="78" t="s">
        <v>196</v>
      </c>
      <c r="G17" s="78" t="s">
        <v>197</v>
      </c>
      <c r="H17" s="78" t="s">
        <v>200</v>
      </c>
      <c r="I17" s="78" t="s">
        <v>201</v>
      </c>
      <c r="J17" s="78" t="s">
        <v>38</v>
      </c>
      <c r="K17" s="78" t="s">
        <v>72</v>
      </c>
      <c r="L17" s="78" t="s">
        <v>165</v>
      </c>
      <c r="M17" s="78" t="s">
        <v>40</v>
      </c>
      <c r="N17" s="80">
        <v>3197896561</v>
      </c>
      <c r="O17" s="80">
        <v>2695714571</v>
      </c>
      <c r="P17" s="80">
        <v>502181990</v>
      </c>
      <c r="Q17" s="80">
        <v>1654217891</v>
      </c>
      <c r="R17" s="80">
        <v>227937694</v>
      </c>
      <c r="S17" s="80">
        <v>208494472</v>
      </c>
      <c r="T17" s="80">
        <v>203709039</v>
      </c>
      <c r="U17" s="80">
        <v>0</v>
      </c>
      <c r="V17" s="80">
        <v>0</v>
      </c>
      <c r="W17" t="s">
        <v>690</v>
      </c>
      <c r="X17" t="s">
        <v>76</v>
      </c>
    </row>
    <row r="18" spans="1:24" ht="12.75" customHeight="1">
      <c r="A18" s="78" t="s">
        <v>708</v>
      </c>
      <c r="B18" s="79">
        <v>2024</v>
      </c>
      <c r="C18" s="78" t="s">
        <v>3</v>
      </c>
      <c r="D18" s="78" t="s">
        <v>154</v>
      </c>
      <c r="E18" s="78" t="s">
        <v>151</v>
      </c>
      <c r="F18" s="78" t="s">
        <v>202</v>
      </c>
      <c r="G18" s="78" t="s">
        <v>203</v>
      </c>
      <c r="H18" s="78" t="s">
        <v>204</v>
      </c>
      <c r="I18" s="78" t="s">
        <v>205</v>
      </c>
      <c r="J18" s="78" t="s">
        <v>38</v>
      </c>
      <c r="K18" s="78" t="s">
        <v>72</v>
      </c>
      <c r="L18" s="78" t="s">
        <v>165</v>
      </c>
      <c r="M18" s="78" t="s">
        <v>40</v>
      </c>
      <c r="N18" s="80">
        <v>4172477058</v>
      </c>
      <c r="O18" s="80">
        <v>4094031855</v>
      </c>
      <c r="P18" s="80">
        <v>78445203</v>
      </c>
      <c r="Q18" s="80">
        <v>3752607342</v>
      </c>
      <c r="R18" s="80">
        <v>301986857</v>
      </c>
      <c r="S18" s="80">
        <v>289122557</v>
      </c>
      <c r="T18" s="80">
        <v>258194557</v>
      </c>
      <c r="U18" s="80">
        <v>0</v>
      </c>
      <c r="V18" s="80">
        <v>0</v>
      </c>
      <c r="W18" t="s">
        <v>690</v>
      </c>
      <c r="X18" t="s">
        <v>76</v>
      </c>
    </row>
    <row r="19" spans="1:24" ht="12.75" customHeight="1">
      <c r="A19" s="78" t="s">
        <v>708</v>
      </c>
      <c r="B19" s="79">
        <v>2024</v>
      </c>
      <c r="C19" s="78" t="s">
        <v>3</v>
      </c>
      <c r="D19" s="78" t="s">
        <v>154</v>
      </c>
      <c r="E19" s="78" t="s">
        <v>151</v>
      </c>
      <c r="F19" s="78" t="s">
        <v>202</v>
      </c>
      <c r="G19" s="78" t="s">
        <v>203</v>
      </c>
      <c r="H19" s="78" t="s">
        <v>198</v>
      </c>
      <c r="I19" s="78" t="s">
        <v>199</v>
      </c>
      <c r="J19" s="78" t="s">
        <v>38</v>
      </c>
      <c r="K19" s="78" t="s">
        <v>72</v>
      </c>
      <c r="L19" s="78" t="s">
        <v>165</v>
      </c>
      <c r="M19" s="78" t="s">
        <v>40</v>
      </c>
      <c r="N19" s="80">
        <v>544857600</v>
      </c>
      <c r="O19" s="80">
        <v>539441062</v>
      </c>
      <c r="P19" s="80">
        <v>5416538</v>
      </c>
      <c r="Q19" s="80">
        <v>534041062</v>
      </c>
      <c r="R19" s="80">
        <v>30137330</v>
      </c>
      <c r="S19" s="80">
        <v>30137330</v>
      </c>
      <c r="T19" s="80">
        <v>30137330</v>
      </c>
      <c r="U19" s="80">
        <v>0</v>
      </c>
      <c r="V19" s="80">
        <v>0</v>
      </c>
      <c r="W19" t="s">
        <v>690</v>
      </c>
      <c r="X19" t="s">
        <v>76</v>
      </c>
    </row>
    <row r="20" spans="1:24" ht="12.75" customHeight="1">
      <c r="A20" s="78" t="s">
        <v>708</v>
      </c>
      <c r="B20" s="79">
        <v>2024</v>
      </c>
      <c r="C20" s="78" t="s">
        <v>3</v>
      </c>
      <c r="D20" s="78" t="s">
        <v>154</v>
      </c>
      <c r="E20" s="78" t="s">
        <v>151</v>
      </c>
      <c r="F20" s="78" t="s">
        <v>206</v>
      </c>
      <c r="G20" s="78" t="s">
        <v>207</v>
      </c>
      <c r="H20" s="78" t="s">
        <v>198</v>
      </c>
      <c r="I20" s="78" t="s">
        <v>199</v>
      </c>
      <c r="J20" s="78" t="s">
        <v>38</v>
      </c>
      <c r="K20" s="78" t="s">
        <v>72</v>
      </c>
      <c r="L20" s="78" t="s">
        <v>165</v>
      </c>
      <c r="M20" s="78" t="s">
        <v>40</v>
      </c>
      <c r="N20" s="80">
        <v>7282857801</v>
      </c>
      <c r="O20" s="80">
        <v>3507513367</v>
      </c>
      <c r="P20" s="80">
        <v>3775344434</v>
      </c>
      <c r="Q20" s="80">
        <v>2238663592</v>
      </c>
      <c r="R20" s="80">
        <v>145500857</v>
      </c>
      <c r="S20" s="80">
        <v>145500857</v>
      </c>
      <c r="T20" s="80">
        <v>129700857</v>
      </c>
      <c r="U20" s="80">
        <v>0</v>
      </c>
      <c r="V20" s="80">
        <v>0</v>
      </c>
      <c r="W20" t="s">
        <v>690</v>
      </c>
      <c r="X20" t="s">
        <v>76</v>
      </c>
    </row>
    <row r="21" spans="1:24" ht="12.75" customHeight="1">
      <c r="A21" s="78" t="s">
        <v>708</v>
      </c>
      <c r="B21" s="79">
        <v>2024</v>
      </c>
      <c r="C21" s="78" t="s">
        <v>3</v>
      </c>
      <c r="D21" s="78" t="s">
        <v>154</v>
      </c>
      <c r="E21" s="78" t="s">
        <v>151</v>
      </c>
      <c r="F21" s="78" t="s">
        <v>208</v>
      </c>
      <c r="G21" s="78" t="s">
        <v>209</v>
      </c>
      <c r="H21" s="78" t="s">
        <v>163</v>
      </c>
      <c r="I21" s="78" t="s">
        <v>164</v>
      </c>
      <c r="J21" s="78" t="s">
        <v>38</v>
      </c>
      <c r="K21" s="78" t="s">
        <v>72</v>
      </c>
      <c r="L21" s="78" t="s">
        <v>165</v>
      </c>
      <c r="M21" s="78" t="s">
        <v>40</v>
      </c>
      <c r="N21" s="80">
        <v>223619000</v>
      </c>
      <c r="O21" s="80">
        <v>223619000</v>
      </c>
      <c r="P21" s="80">
        <v>0</v>
      </c>
      <c r="Q21" s="80">
        <v>214132133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t="s">
        <v>687</v>
      </c>
      <c r="X21" t="s">
        <v>76</v>
      </c>
    </row>
    <row r="22" spans="1:24" ht="12.75" customHeight="1">
      <c r="A22" s="78" t="s">
        <v>708</v>
      </c>
      <c r="B22" s="79">
        <v>2024</v>
      </c>
      <c r="C22" s="78" t="s">
        <v>3</v>
      </c>
      <c r="D22" s="78" t="s">
        <v>154</v>
      </c>
      <c r="E22" s="78" t="s">
        <v>151</v>
      </c>
      <c r="F22" s="78" t="s">
        <v>208</v>
      </c>
      <c r="G22" s="78" t="s">
        <v>209</v>
      </c>
      <c r="H22" s="78" t="s">
        <v>210</v>
      </c>
      <c r="I22" s="78" t="s">
        <v>211</v>
      </c>
      <c r="J22" s="78" t="s">
        <v>38</v>
      </c>
      <c r="K22" s="78" t="s">
        <v>72</v>
      </c>
      <c r="L22" s="78" t="s">
        <v>165</v>
      </c>
      <c r="M22" s="78" t="s">
        <v>40</v>
      </c>
      <c r="N22" s="80">
        <v>1338490284</v>
      </c>
      <c r="O22" s="80">
        <v>1165440883</v>
      </c>
      <c r="P22" s="80">
        <v>173049401</v>
      </c>
      <c r="Q22" s="80">
        <v>431543133</v>
      </c>
      <c r="R22" s="80">
        <v>27695538</v>
      </c>
      <c r="S22" s="80">
        <v>27695538</v>
      </c>
      <c r="T22" s="80">
        <v>27695538</v>
      </c>
      <c r="U22" s="80">
        <v>0</v>
      </c>
      <c r="V22" s="80">
        <v>0</v>
      </c>
      <c r="W22" t="s">
        <v>691</v>
      </c>
      <c r="X22" t="s">
        <v>76</v>
      </c>
    </row>
    <row r="23" spans="1:24" ht="12.75" customHeight="1">
      <c r="A23" s="78" t="s">
        <v>708</v>
      </c>
      <c r="B23" s="79">
        <v>2024</v>
      </c>
      <c r="C23" s="78" t="s">
        <v>3</v>
      </c>
      <c r="D23" s="78" t="s">
        <v>154</v>
      </c>
      <c r="E23" s="78" t="s">
        <v>151</v>
      </c>
      <c r="F23" s="78" t="s">
        <v>208</v>
      </c>
      <c r="G23" s="78" t="s">
        <v>209</v>
      </c>
      <c r="H23" s="78" t="s">
        <v>212</v>
      </c>
      <c r="I23" s="78" t="s">
        <v>213</v>
      </c>
      <c r="J23" s="78" t="s">
        <v>38</v>
      </c>
      <c r="K23" s="78" t="s">
        <v>72</v>
      </c>
      <c r="L23" s="78" t="s">
        <v>165</v>
      </c>
      <c r="M23" s="78" t="s">
        <v>40</v>
      </c>
      <c r="N23" s="80">
        <v>1750421612</v>
      </c>
      <c r="O23" s="80">
        <v>1004310300</v>
      </c>
      <c r="P23" s="80">
        <v>746111312</v>
      </c>
      <c r="Q23" s="80">
        <v>473132100</v>
      </c>
      <c r="R23" s="80">
        <v>32900700</v>
      </c>
      <c r="S23" s="80">
        <v>32900700</v>
      </c>
      <c r="T23" s="80">
        <v>27419700</v>
      </c>
      <c r="U23" s="80">
        <v>0</v>
      </c>
      <c r="V23" s="80">
        <v>0</v>
      </c>
      <c r="W23" t="s">
        <v>691</v>
      </c>
      <c r="X23" t="s">
        <v>76</v>
      </c>
    </row>
    <row r="24" spans="1:24" ht="12.75" customHeight="1">
      <c r="A24" s="78" t="s">
        <v>708</v>
      </c>
      <c r="B24" s="79">
        <v>2024</v>
      </c>
      <c r="C24" s="78" t="s">
        <v>3</v>
      </c>
      <c r="D24" s="78" t="s">
        <v>154</v>
      </c>
      <c r="E24" s="78" t="s">
        <v>151</v>
      </c>
      <c r="F24" s="78" t="s">
        <v>208</v>
      </c>
      <c r="G24" s="78" t="s">
        <v>209</v>
      </c>
      <c r="H24" s="78" t="s">
        <v>214</v>
      </c>
      <c r="I24" s="78" t="s">
        <v>215</v>
      </c>
      <c r="J24" s="78" t="s">
        <v>38</v>
      </c>
      <c r="K24" s="78" t="s">
        <v>72</v>
      </c>
      <c r="L24" s="78" t="s">
        <v>165</v>
      </c>
      <c r="M24" s="78" t="s">
        <v>40</v>
      </c>
      <c r="N24" s="80">
        <v>1446444686</v>
      </c>
      <c r="O24" s="80">
        <v>1283769849</v>
      </c>
      <c r="P24" s="80">
        <v>162674837</v>
      </c>
      <c r="Q24" s="80">
        <v>1164426745</v>
      </c>
      <c r="R24" s="80">
        <v>107723662</v>
      </c>
      <c r="S24" s="80">
        <v>107723662</v>
      </c>
      <c r="T24" s="80">
        <v>107723662</v>
      </c>
      <c r="U24" s="80">
        <v>0</v>
      </c>
      <c r="V24" s="80">
        <v>0</v>
      </c>
      <c r="W24" t="s">
        <v>691</v>
      </c>
      <c r="X24" t="s">
        <v>76</v>
      </c>
    </row>
    <row r="25" spans="1:24" ht="12.75" customHeight="1">
      <c r="A25" s="78" t="s">
        <v>708</v>
      </c>
      <c r="B25" s="79">
        <v>2024</v>
      </c>
      <c r="C25" s="78" t="s">
        <v>3</v>
      </c>
      <c r="D25" s="78" t="s">
        <v>154</v>
      </c>
      <c r="E25" s="78" t="s">
        <v>151</v>
      </c>
      <c r="F25" s="78" t="s">
        <v>208</v>
      </c>
      <c r="G25" s="78" t="s">
        <v>209</v>
      </c>
      <c r="H25" s="78" t="s">
        <v>216</v>
      </c>
      <c r="I25" s="78" t="s">
        <v>217</v>
      </c>
      <c r="J25" s="78" t="s">
        <v>38</v>
      </c>
      <c r="K25" s="78" t="s">
        <v>72</v>
      </c>
      <c r="L25" s="78" t="s">
        <v>165</v>
      </c>
      <c r="M25" s="78" t="s">
        <v>40</v>
      </c>
      <c r="N25" s="80">
        <v>842277985</v>
      </c>
      <c r="O25" s="80">
        <v>353915880</v>
      </c>
      <c r="P25" s="80">
        <v>488362105</v>
      </c>
      <c r="Q25" s="80">
        <v>218582600</v>
      </c>
      <c r="R25" s="80">
        <v>19390202</v>
      </c>
      <c r="S25" s="80">
        <v>19390202</v>
      </c>
      <c r="T25" s="80">
        <v>11390202</v>
      </c>
      <c r="U25" s="80">
        <v>0</v>
      </c>
      <c r="V25" s="80">
        <v>0</v>
      </c>
      <c r="W25" t="s">
        <v>691</v>
      </c>
      <c r="X25" t="s">
        <v>76</v>
      </c>
    </row>
    <row r="26" spans="1:24" ht="12.75" customHeight="1">
      <c r="A26" s="78" t="s">
        <v>708</v>
      </c>
      <c r="B26" s="79">
        <v>2024</v>
      </c>
      <c r="C26" s="78" t="s">
        <v>3</v>
      </c>
      <c r="D26" s="78" t="s">
        <v>154</v>
      </c>
      <c r="E26" s="78" t="s">
        <v>151</v>
      </c>
      <c r="F26" s="78" t="s">
        <v>208</v>
      </c>
      <c r="G26" s="78" t="s">
        <v>209</v>
      </c>
      <c r="H26" s="78" t="s">
        <v>218</v>
      </c>
      <c r="I26" s="78" t="s">
        <v>219</v>
      </c>
      <c r="J26" s="78" t="s">
        <v>38</v>
      </c>
      <c r="K26" s="78" t="s">
        <v>72</v>
      </c>
      <c r="L26" s="78" t="s">
        <v>165</v>
      </c>
      <c r="M26" s="78" t="s">
        <v>40</v>
      </c>
      <c r="N26" s="80">
        <v>1320121433</v>
      </c>
      <c r="O26" s="80">
        <v>725520550</v>
      </c>
      <c r="P26" s="80">
        <v>594600883</v>
      </c>
      <c r="Q26" s="80">
        <v>314133700</v>
      </c>
      <c r="R26" s="80">
        <v>6960000</v>
      </c>
      <c r="S26" s="80">
        <v>6960000</v>
      </c>
      <c r="T26" s="80">
        <v>6960000</v>
      </c>
      <c r="U26" s="80">
        <v>0</v>
      </c>
      <c r="V26" s="80">
        <v>0</v>
      </c>
      <c r="W26" t="s">
        <v>691</v>
      </c>
      <c r="X26" t="s">
        <v>76</v>
      </c>
    </row>
    <row r="27" spans="1:24" ht="12.75" customHeight="1">
      <c r="A27" s="78" t="s">
        <v>708</v>
      </c>
      <c r="B27" s="79">
        <v>2024</v>
      </c>
      <c r="C27" s="78" t="s">
        <v>3</v>
      </c>
      <c r="D27" s="78" t="s">
        <v>154</v>
      </c>
      <c r="E27" s="78" t="s">
        <v>151</v>
      </c>
      <c r="F27" s="78" t="s">
        <v>208</v>
      </c>
      <c r="G27" s="78" t="s">
        <v>209</v>
      </c>
      <c r="H27" s="78" t="s">
        <v>220</v>
      </c>
      <c r="I27" s="78" t="s">
        <v>221</v>
      </c>
      <c r="J27" s="78" t="s">
        <v>38</v>
      </c>
      <c r="K27" s="78" t="s">
        <v>72</v>
      </c>
      <c r="L27" s="78" t="s">
        <v>165</v>
      </c>
      <c r="M27" s="78" t="s">
        <v>40</v>
      </c>
      <c r="N27" s="80">
        <v>342244000</v>
      </c>
      <c r="O27" s="80">
        <v>0</v>
      </c>
      <c r="P27" s="80">
        <v>342244000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t="s">
        <v>691</v>
      </c>
      <c r="X27" t="s">
        <v>76</v>
      </c>
    </row>
    <row r="28" spans="1:24" ht="12.75" customHeight="1">
      <c r="A28" s="78" t="s">
        <v>708</v>
      </c>
      <c r="B28" s="79">
        <v>2024</v>
      </c>
      <c r="C28" s="78" t="s">
        <v>3</v>
      </c>
      <c r="D28" s="78" t="s">
        <v>154</v>
      </c>
      <c r="E28" s="78" t="s">
        <v>151</v>
      </c>
      <c r="F28" s="78" t="s">
        <v>222</v>
      </c>
      <c r="G28" s="78" t="s">
        <v>223</v>
      </c>
      <c r="H28" s="78" t="s">
        <v>204</v>
      </c>
      <c r="I28" s="78" t="s">
        <v>205</v>
      </c>
      <c r="J28" s="78" t="s">
        <v>38</v>
      </c>
      <c r="K28" s="78" t="s">
        <v>72</v>
      </c>
      <c r="L28" s="78" t="s">
        <v>165</v>
      </c>
      <c r="M28" s="78" t="s">
        <v>40</v>
      </c>
      <c r="N28" s="80">
        <v>823829305</v>
      </c>
      <c r="O28" s="80">
        <v>823147164</v>
      </c>
      <c r="P28" s="80">
        <v>682141</v>
      </c>
      <c r="Q28" s="80">
        <v>818897159</v>
      </c>
      <c r="R28" s="80">
        <v>85905917</v>
      </c>
      <c r="S28" s="80">
        <v>85905917</v>
      </c>
      <c r="T28" s="80">
        <v>85905917</v>
      </c>
      <c r="U28" s="80">
        <v>0</v>
      </c>
      <c r="V28" s="80">
        <v>0</v>
      </c>
      <c r="W28" t="s">
        <v>690</v>
      </c>
      <c r="X28" t="s">
        <v>76</v>
      </c>
    </row>
    <row r="29" spans="1:24" ht="12.75" customHeight="1">
      <c r="A29" s="78" t="s">
        <v>708</v>
      </c>
      <c r="B29" s="79">
        <v>2024</v>
      </c>
      <c r="C29" s="78" t="s">
        <v>3</v>
      </c>
      <c r="D29" s="78" t="s">
        <v>154</v>
      </c>
      <c r="E29" s="78" t="s">
        <v>151</v>
      </c>
      <c r="F29" s="78" t="s">
        <v>222</v>
      </c>
      <c r="G29" s="78" t="s">
        <v>223</v>
      </c>
      <c r="H29" s="78" t="s">
        <v>198</v>
      </c>
      <c r="I29" s="78" t="s">
        <v>199</v>
      </c>
      <c r="J29" s="78" t="s">
        <v>38</v>
      </c>
      <c r="K29" s="78" t="s">
        <v>72</v>
      </c>
      <c r="L29" s="78" t="s">
        <v>165</v>
      </c>
      <c r="M29" s="78" t="s">
        <v>40</v>
      </c>
      <c r="N29" s="80">
        <v>1275820696</v>
      </c>
      <c r="O29" s="80">
        <v>1054569852</v>
      </c>
      <c r="P29" s="80">
        <v>221250844</v>
      </c>
      <c r="Q29" s="80">
        <v>928698786</v>
      </c>
      <c r="R29" s="80">
        <v>78980225</v>
      </c>
      <c r="S29" s="80">
        <v>55231873</v>
      </c>
      <c r="T29" s="80">
        <v>55231873</v>
      </c>
      <c r="U29" s="80">
        <v>0</v>
      </c>
      <c r="V29" s="80">
        <v>0</v>
      </c>
      <c r="W29" t="s">
        <v>690</v>
      </c>
      <c r="X29" t="s">
        <v>76</v>
      </c>
    </row>
    <row r="30" spans="1:24" ht="12.75" customHeight="1">
      <c r="A30" s="78" t="s">
        <v>708</v>
      </c>
      <c r="B30" s="79">
        <v>2024</v>
      </c>
      <c r="C30" s="78" t="s">
        <v>3</v>
      </c>
      <c r="D30" s="78" t="s">
        <v>154</v>
      </c>
      <c r="E30" s="78" t="s">
        <v>151</v>
      </c>
      <c r="F30" s="78" t="s">
        <v>222</v>
      </c>
      <c r="G30" s="78" t="s">
        <v>223</v>
      </c>
      <c r="H30" s="78" t="s">
        <v>200</v>
      </c>
      <c r="I30" s="78" t="s">
        <v>201</v>
      </c>
      <c r="J30" s="78" t="s">
        <v>38</v>
      </c>
      <c r="K30" s="78" t="s">
        <v>72</v>
      </c>
      <c r="L30" s="78" t="s">
        <v>165</v>
      </c>
      <c r="M30" s="78" t="s">
        <v>40</v>
      </c>
      <c r="N30" s="80">
        <v>94349999</v>
      </c>
      <c r="O30" s="80">
        <v>94349999</v>
      </c>
      <c r="P30" s="80">
        <v>0</v>
      </c>
      <c r="Q30" s="80">
        <v>92933324</v>
      </c>
      <c r="R30" s="80">
        <v>4816661</v>
      </c>
      <c r="S30" s="80">
        <v>4816661</v>
      </c>
      <c r="T30" s="80">
        <v>4816661</v>
      </c>
      <c r="U30" s="80">
        <v>0</v>
      </c>
      <c r="V30" s="80">
        <v>0</v>
      </c>
      <c r="W30" t="s">
        <v>690</v>
      </c>
      <c r="X30" t="s">
        <v>76</v>
      </c>
    </row>
    <row r="31" spans="1:24" ht="12.75" customHeight="1">
      <c r="A31" s="78" t="s">
        <v>708</v>
      </c>
      <c r="B31" s="79">
        <v>2024</v>
      </c>
      <c r="C31" s="78" t="s">
        <v>3</v>
      </c>
      <c r="D31" s="78" t="s">
        <v>154</v>
      </c>
      <c r="E31" s="78" t="s">
        <v>151</v>
      </c>
      <c r="F31" s="78" t="s">
        <v>224</v>
      </c>
      <c r="G31" s="78" t="s">
        <v>225</v>
      </c>
      <c r="H31" s="78" t="s">
        <v>204</v>
      </c>
      <c r="I31" s="78" t="s">
        <v>205</v>
      </c>
      <c r="J31" s="78" t="s">
        <v>38</v>
      </c>
      <c r="K31" s="78" t="s">
        <v>72</v>
      </c>
      <c r="L31" s="78" t="s">
        <v>165</v>
      </c>
      <c r="M31" s="78" t="s">
        <v>40</v>
      </c>
      <c r="N31" s="80">
        <v>11390751120</v>
      </c>
      <c r="O31" s="80">
        <v>9242851601</v>
      </c>
      <c r="P31" s="80">
        <v>2147899519</v>
      </c>
      <c r="Q31" s="80">
        <v>7573423672</v>
      </c>
      <c r="R31" s="80">
        <v>552895577</v>
      </c>
      <c r="S31" s="80">
        <v>505505577</v>
      </c>
      <c r="T31" s="80">
        <v>444497827</v>
      </c>
      <c r="U31" s="80">
        <v>0</v>
      </c>
      <c r="V31" s="80">
        <v>0</v>
      </c>
      <c r="W31" t="s">
        <v>690</v>
      </c>
      <c r="X31" t="s">
        <v>76</v>
      </c>
    </row>
    <row r="32" spans="1:24" ht="12.75" customHeight="1">
      <c r="A32" s="78" t="s">
        <v>708</v>
      </c>
      <c r="B32" s="79">
        <v>2024</v>
      </c>
      <c r="C32" s="78" t="s">
        <v>3</v>
      </c>
      <c r="D32" s="78" t="s">
        <v>154</v>
      </c>
      <c r="E32" s="78" t="s">
        <v>151</v>
      </c>
      <c r="F32" s="78" t="s">
        <v>224</v>
      </c>
      <c r="G32" s="78" t="s">
        <v>225</v>
      </c>
      <c r="H32" s="78" t="s">
        <v>200</v>
      </c>
      <c r="I32" s="78" t="s">
        <v>201</v>
      </c>
      <c r="J32" s="78" t="s">
        <v>38</v>
      </c>
      <c r="K32" s="78" t="s">
        <v>72</v>
      </c>
      <c r="L32" s="78" t="s">
        <v>165</v>
      </c>
      <c r="M32" s="78" t="s">
        <v>40</v>
      </c>
      <c r="N32" s="80">
        <v>5334500000</v>
      </c>
      <c r="O32" s="80">
        <v>509250000</v>
      </c>
      <c r="P32" s="80">
        <v>4825250000</v>
      </c>
      <c r="Q32" s="80">
        <v>504784000</v>
      </c>
      <c r="R32" s="80">
        <v>62524000</v>
      </c>
      <c r="S32" s="80">
        <v>62524000</v>
      </c>
      <c r="T32" s="80">
        <v>60900000</v>
      </c>
      <c r="U32" s="80">
        <v>0</v>
      </c>
      <c r="V32" s="80">
        <v>0</v>
      </c>
      <c r="W32" t="s">
        <v>690</v>
      </c>
      <c r="X32" t="s">
        <v>76</v>
      </c>
    </row>
    <row r="33" spans="1:24" ht="12.75" customHeight="1">
      <c r="A33" s="78" t="s">
        <v>708</v>
      </c>
      <c r="B33" s="79">
        <v>2024</v>
      </c>
      <c r="C33" s="78" t="s">
        <v>3</v>
      </c>
      <c r="D33" s="78" t="s">
        <v>154</v>
      </c>
      <c r="E33" s="78" t="s">
        <v>151</v>
      </c>
      <c r="F33" s="78" t="s">
        <v>226</v>
      </c>
      <c r="G33" s="78" t="s">
        <v>227</v>
      </c>
      <c r="H33" s="78" t="s">
        <v>198</v>
      </c>
      <c r="I33" s="78" t="s">
        <v>199</v>
      </c>
      <c r="J33" s="78" t="s">
        <v>38</v>
      </c>
      <c r="K33" s="78" t="s">
        <v>72</v>
      </c>
      <c r="L33" s="78" t="s">
        <v>165</v>
      </c>
      <c r="M33" s="78" t="s">
        <v>40</v>
      </c>
      <c r="N33" s="80">
        <v>3412208646</v>
      </c>
      <c r="O33" s="80">
        <v>2523708646</v>
      </c>
      <c r="P33" s="80">
        <v>888500000</v>
      </c>
      <c r="Q33" s="80">
        <v>2479575457</v>
      </c>
      <c r="R33" s="80">
        <v>243071689</v>
      </c>
      <c r="S33" s="80">
        <v>243071689</v>
      </c>
      <c r="T33" s="80">
        <v>200220222</v>
      </c>
      <c r="U33" s="80">
        <v>0</v>
      </c>
      <c r="V33" s="80">
        <v>0</v>
      </c>
      <c r="W33" t="s">
        <v>690</v>
      </c>
      <c r="X33" t="s">
        <v>76</v>
      </c>
    </row>
    <row r="34" spans="1:24" ht="12.75" customHeight="1">
      <c r="A34" s="78" t="s">
        <v>708</v>
      </c>
      <c r="B34" s="79">
        <v>2024</v>
      </c>
      <c r="C34" s="78" t="s">
        <v>3</v>
      </c>
      <c r="D34" s="78" t="s">
        <v>154</v>
      </c>
      <c r="E34" s="78" t="s">
        <v>151</v>
      </c>
      <c r="F34" s="78" t="s">
        <v>226</v>
      </c>
      <c r="G34" s="78" t="s">
        <v>227</v>
      </c>
      <c r="H34" s="78" t="s">
        <v>163</v>
      </c>
      <c r="I34" s="78" t="s">
        <v>164</v>
      </c>
      <c r="J34" s="78" t="s">
        <v>38</v>
      </c>
      <c r="K34" s="78" t="s">
        <v>72</v>
      </c>
      <c r="L34" s="78" t="s">
        <v>165</v>
      </c>
      <c r="M34" s="78" t="s">
        <v>40</v>
      </c>
      <c r="N34" s="80">
        <v>200000000</v>
      </c>
      <c r="O34" s="80">
        <v>0</v>
      </c>
      <c r="P34" s="80">
        <v>200000000</v>
      </c>
      <c r="Q34" s="80"/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t="s">
        <v>687</v>
      </c>
      <c r="X34" t="s">
        <v>76</v>
      </c>
    </row>
    <row r="35" spans="1:24" ht="12.75" customHeight="1">
      <c r="A35" s="78" t="s">
        <v>708</v>
      </c>
      <c r="B35" s="79">
        <v>2024</v>
      </c>
      <c r="C35" s="78" t="s">
        <v>3</v>
      </c>
      <c r="D35" s="78" t="s">
        <v>154</v>
      </c>
      <c r="E35" s="78" t="s">
        <v>151</v>
      </c>
      <c r="F35" s="78" t="s">
        <v>228</v>
      </c>
      <c r="G35" s="78" t="s">
        <v>229</v>
      </c>
      <c r="H35" s="78" t="s">
        <v>204</v>
      </c>
      <c r="I35" s="78" t="s">
        <v>205</v>
      </c>
      <c r="J35" s="78" t="s">
        <v>38</v>
      </c>
      <c r="K35" s="78" t="s">
        <v>72</v>
      </c>
      <c r="L35" s="78" t="s">
        <v>165</v>
      </c>
      <c r="M35" s="78" t="s">
        <v>40</v>
      </c>
      <c r="N35" s="80">
        <v>335870000</v>
      </c>
      <c r="O35" s="80">
        <v>327593334</v>
      </c>
      <c r="P35" s="80">
        <v>8276666</v>
      </c>
      <c r="Q35" s="80">
        <v>327593334</v>
      </c>
      <c r="R35" s="80">
        <v>27943333</v>
      </c>
      <c r="S35" s="80">
        <v>27943333</v>
      </c>
      <c r="T35" s="80">
        <v>27943333</v>
      </c>
      <c r="U35" s="80">
        <v>0</v>
      </c>
      <c r="V35" s="80">
        <v>0</v>
      </c>
      <c r="W35" t="s">
        <v>690</v>
      </c>
      <c r="X35" t="s">
        <v>76</v>
      </c>
    </row>
    <row r="36" spans="1:24" ht="12.75" customHeight="1">
      <c r="A36" s="78" t="s">
        <v>708</v>
      </c>
      <c r="B36" s="79">
        <v>2024</v>
      </c>
      <c r="C36" s="78" t="s">
        <v>3</v>
      </c>
      <c r="D36" s="78" t="s">
        <v>154</v>
      </c>
      <c r="E36" s="78" t="s">
        <v>151</v>
      </c>
      <c r="F36" s="78" t="s">
        <v>228</v>
      </c>
      <c r="G36" s="78" t="s">
        <v>229</v>
      </c>
      <c r="H36" s="78" t="s">
        <v>198</v>
      </c>
      <c r="I36" s="78" t="s">
        <v>199</v>
      </c>
      <c r="J36" s="78" t="s">
        <v>38</v>
      </c>
      <c r="K36" s="78" t="s">
        <v>72</v>
      </c>
      <c r="L36" s="78" t="s">
        <v>165</v>
      </c>
      <c r="M36" s="78" t="s">
        <v>40</v>
      </c>
      <c r="N36" s="80">
        <v>3865650000</v>
      </c>
      <c r="O36" s="80">
        <v>3770923342</v>
      </c>
      <c r="P36" s="80">
        <v>94726658</v>
      </c>
      <c r="Q36" s="80">
        <v>2195523342</v>
      </c>
      <c r="R36" s="80">
        <v>165183322</v>
      </c>
      <c r="S36" s="80">
        <v>163783322</v>
      </c>
      <c r="T36" s="80">
        <v>152783322</v>
      </c>
      <c r="U36" s="80">
        <v>0</v>
      </c>
      <c r="V36" s="80">
        <v>0</v>
      </c>
      <c r="W36" t="s">
        <v>690</v>
      </c>
      <c r="X36" t="s">
        <v>76</v>
      </c>
    </row>
    <row r="37" spans="1:24" ht="12.75" customHeight="1">
      <c r="A37" s="78" t="s">
        <v>708</v>
      </c>
      <c r="B37" s="79">
        <v>2024</v>
      </c>
      <c r="C37" s="78" t="s">
        <v>3</v>
      </c>
      <c r="D37" s="78" t="s">
        <v>154</v>
      </c>
      <c r="E37" s="78" t="s">
        <v>151</v>
      </c>
      <c r="F37" s="78" t="s">
        <v>230</v>
      </c>
      <c r="G37" s="78" t="s">
        <v>231</v>
      </c>
      <c r="H37" s="78" t="s">
        <v>204</v>
      </c>
      <c r="I37" s="78" t="s">
        <v>205</v>
      </c>
      <c r="J37" s="78" t="s">
        <v>38</v>
      </c>
      <c r="K37" s="78" t="s">
        <v>72</v>
      </c>
      <c r="L37" s="78" t="s">
        <v>165</v>
      </c>
      <c r="M37" s="78" t="s">
        <v>40</v>
      </c>
      <c r="N37" s="80">
        <v>2663186208</v>
      </c>
      <c r="O37" s="80">
        <v>2555644220</v>
      </c>
      <c r="P37" s="80">
        <v>107541988</v>
      </c>
      <c r="Q37" s="80">
        <v>1620471885</v>
      </c>
      <c r="R37" s="80">
        <v>106542522</v>
      </c>
      <c r="S37" s="80">
        <v>106542522</v>
      </c>
      <c r="T37" s="80">
        <v>106542522</v>
      </c>
      <c r="U37" s="80">
        <v>0</v>
      </c>
      <c r="V37" s="80">
        <v>0</v>
      </c>
      <c r="W37" t="s">
        <v>690</v>
      </c>
      <c r="X37" t="s">
        <v>76</v>
      </c>
    </row>
    <row r="38" spans="1:24" ht="12.75" customHeight="1">
      <c r="A38" s="78" t="s">
        <v>708</v>
      </c>
      <c r="B38" s="79">
        <v>2024</v>
      </c>
      <c r="C38" s="78" t="s">
        <v>3</v>
      </c>
      <c r="D38" s="78" t="s">
        <v>154</v>
      </c>
      <c r="E38" s="78" t="s">
        <v>151</v>
      </c>
      <c r="F38" s="78" t="s">
        <v>230</v>
      </c>
      <c r="G38" s="78" t="s">
        <v>231</v>
      </c>
      <c r="H38" s="78" t="s">
        <v>198</v>
      </c>
      <c r="I38" s="78" t="s">
        <v>199</v>
      </c>
      <c r="J38" s="78" t="s">
        <v>38</v>
      </c>
      <c r="K38" s="78" t="s">
        <v>72</v>
      </c>
      <c r="L38" s="78" t="s">
        <v>165</v>
      </c>
      <c r="M38" s="78" t="s">
        <v>40</v>
      </c>
      <c r="N38" s="80">
        <v>2066372459</v>
      </c>
      <c r="O38" s="80">
        <v>1680396472</v>
      </c>
      <c r="P38" s="80">
        <v>385975987</v>
      </c>
      <c r="Q38" s="80">
        <v>1660775126</v>
      </c>
      <c r="R38" s="80">
        <v>99470495</v>
      </c>
      <c r="S38" s="80">
        <v>96070495</v>
      </c>
      <c r="T38" s="80">
        <v>90207295</v>
      </c>
      <c r="U38" s="80">
        <v>0</v>
      </c>
      <c r="V38" s="80">
        <v>0</v>
      </c>
      <c r="W38" t="s">
        <v>690</v>
      </c>
      <c r="X38" t="s">
        <v>76</v>
      </c>
    </row>
    <row r="39" spans="1:24" ht="12.75" customHeight="1">
      <c r="A39" s="78" t="s">
        <v>708</v>
      </c>
      <c r="B39" s="79">
        <v>2024</v>
      </c>
      <c r="C39" s="78" t="s">
        <v>3</v>
      </c>
      <c r="D39" s="78" t="s">
        <v>154</v>
      </c>
      <c r="E39" s="78" t="s">
        <v>151</v>
      </c>
      <c r="F39" s="78" t="s">
        <v>232</v>
      </c>
      <c r="G39" s="78" t="s">
        <v>233</v>
      </c>
      <c r="H39" s="78" t="s">
        <v>198</v>
      </c>
      <c r="I39" s="78" t="s">
        <v>199</v>
      </c>
      <c r="J39" s="78" t="s">
        <v>38</v>
      </c>
      <c r="K39" s="78" t="s">
        <v>72</v>
      </c>
      <c r="L39" s="78" t="s">
        <v>165</v>
      </c>
      <c r="M39" s="78" t="s">
        <v>40</v>
      </c>
      <c r="N39" s="80">
        <v>4344855612</v>
      </c>
      <c r="O39" s="80">
        <v>3463506189</v>
      </c>
      <c r="P39" s="80">
        <v>881349423</v>
      </c>
      <c r="Q39" s="80">
        <v>3207358413</v>
      </c>
      <c r="R39" s="80">
        <v>267442018</v>
      </c>
      <c r="S39" s="80">
        <v>248029198</v>
      </c>
      <c r="T39" s="80">
        <v>218158693</v>
      </c>
      <c r="U39" s="80">
        <v>0</v>
      </c>
      <c r="V39" s="80">
        <v>0</v>
      </c>
      <c r="W39" t="s">
        <v>690</v>
      </c>
      <c r="X39" t="s">
        <v>76</v>
      </c>
    </row>
    <row r="40" spans="1:24" ht="12.75" customHeight="1">
      <c r="A40" s="78" t="s">
        <v>708</v>
      </c>
      <c r="B40" s="79">
        <v>2024</v>
      </c>
      <c r="C40" s="78" t="s">
        <v>3</v>
      </c>
      <c r="D40" s="78" t="s">
        <v>154</v>
      </c>
      <c r="E40" s="78" t="s">
        <v>151</v>
      </c>
      <c r="F40" s="78" t="s">
        <v>234</v>
      </c>
      <c r="G40" s="78" t="s">
        <v>235</v>
      </c>
      <c r="H40" s="78" t="s">
        <v>186</v>
      </c>
      <c r="I40" s="78" t="s">
        <v>187</v>
      </c>
      <c r="J40" s="78" t="s">
        <v>38</v>
      </c>
      <c r="K40" s="78" t="s">
        <v>72</v>
      </c>
      <c r="L40" s="78" t="s">
        <v>165</v>
      </c>
      <c r="M40" s="78" t="s">
        <v>40</v>
      </c>
      <c r="N40" s="80">
        <v>2302633475</v>
      </c>
      <c r="O40" s="80">
        <v>256676000</v>
      </c>
      <c r="P40" s="80">
        <v>2045957475</v>
      </c>
      <c r="Q40" s="80">
        <v>235075000</v>
      </c>
      <c r="R40" s="80">
        <v>25008333</v>
      </c>
      <c r="S40" s="80">
        <v>25008333</v>
      </c>
      <c r="T40" s="80">
        <v>25008333</v>
      </c>
      <c r="U40" s="80">
        <v>0</v>
      </c>
      <c r="V40" s="80">
        <v>0</v>
      </c>
      <c r="W40" t="s">
        <v>688</v>
      </c>
      <c r="X40" t="s">
        <v>76</v>
      </c>
    </row>
    <row r="41" spans="1:24" ht="12.75" customHeight="1">
      <c r="A41" s="78" t="s">
        <v>708</v>
      </c>
      <c r="B41" s="79">
        <v>2024</v>
      </c>
      <c r="C41" s="78" t="s">
        <v>3</v>
      </c>
      <c r="D41" s="78" t="s">
        <v>154</v>
      </c>
      <c r="E41" s="78" t="s">
        <v>151</v>
      </c>
      <c r="F41" s="78" t="s">
        <v>236</v>
      </c>
      <c r="G41" s="78" t="s">
        <v>237</v>
      </c>
      <c r="H41" s="78" t="s">
        <v>270</v>
      </c>
      <c r="I41" s="78" t="s">
        <v>271</v>
      </c>
      <c r="J41" s="78" t="s">
        <v>38</v>
      </c>
      <c r="K41" s="78" t="s">
        <v>72</v>
      </c>
      <c r="L41" s="78" t="s">
        <v>165</v>
      </c>
      <c r="M41" s="78" t="s">
        <v>40</v>
      </c>
      <c r="N41" s="80">
        <v>262696350</v>
      </c>
      <c r="O41" s="80">
        <v>262696350</v>
      </c>
      <c r="P41" s="80">
        <v>0</v>
      </c>
      <c r="Q41" s="80">
        <v>261686950</v>
      </c>
      <c r="R41" s="80">
        <v>34319600</v>
      </c>
      <c r="S41" s="80">
        <v>34319600</v>
      </c>
      <c r="T41" s="80">
        <v>34319600</v>
      </c>
      <c r="U41" s="80">
        <v>0</v>
      </c>
      <c r="V41" s="80">
        <v>0</v>
      </c>
      <c r="W41" t="s">
        <v>692</v>
      </c>
      <c r="X41" t="s">
        <v>76</v>
      </c>
    </row>
    <row r="42" spans="1:24" ht="12.75" customHeight="1">
      <c r="A42" s="78" t="s">
        <v>708</v>
      </c>
      <c r="B42" s="79">
        <v>2024</v>
      </c>
      <c r="C42" s="78" t="s">
        <v>3</v>
      </c>
      <c r="D42" s="78" t="s">
        <v>154</v>
      </c>
      <c r="E42" s="78" t="s">
        <v>151</v>
      </c>
      <c r="F42" s="78" t="s">
        <v>236</v>
      </c>
      <c r="G42" s="78" t="s">
        <v>237</v>
      </c>
      <c r="H42" s="78" t="s">
        <v>272</v>
      </c>
      <c r="I42" s="78" t="s">
        <v>273</v>
      </c>
      <c r="J42" s="78" t="s">
        <v>38</v>
      </c>
      <c r="K42" s="78" t="s">
        <v>72</v>
      </c>
      <c r="L42" s="78" t="s">
        <v>165</v>
      </c>
      <c r="M42" s="78" t="s">
        <v>40</v>
      </c>
      <c r="N42" s="80">
        <v>13248303650</v>
      </c>
      <c r="O42" s="80">
        <v>0</v>
      </c>
      <c r="P42" s="80">
        <v>13248303650</v>
      </c>
      <c r="Q42" s="80"/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t="s">
        <v>692</v>
      </c>
      <c r="X42" t="s">
        <v>76</v>
      </c>
    </row>
    <row r="43" spans="1:24" ht="12.75" customHeight="1">
      <c r="A43" s="78" t="s">
        <v>708</v>
      </c>
      <c r="B43" s="79">
        <v>2024</v>
      </c>
      <c r="C43" s="78" t="s">
        <v>3</v>
      </c>
      <c r="D43" s="78" t="s">
        <v>154</v>
      </c>
      <c r="E43" s="78" t="s">
        <v>151</v>
      </c>
      <c r="F43" s="78" t="s">
        <v>236</v>
      </c>
      <c r="G43" s="78" t="s">
        <v>237</v>
      </c>
      <c r="H43" s="78" t="s">
        <v>168</v>
      </c>
      <c r="I43" s="78" t="s">
        <v>169</v>
      </c>
      <c r="J43" s="78" t="s">
        <v>38</v>
      </c>
      <c r="K43" s="78" t="s">
        <v>72</v>
      </c>
      <c r="L43" s="78" t="s">
        <v>165</v>
      </c>
      <c r="M43" s="78" t="s">
        <v>40</v>
      </c>
      <c r="N43" s="80">
        <v>716865772</v>
      </c>
      <c r="O43" s="80">
        <v>151493064</v>
      </c>
      <c r="P43" s="80">
        <v>565372708</v>
      </c>
      <c r="Q43" s="80">
        <v>148860400</v>
      </c>
      <c r="R43" s="80">
        <v>3229200</v>
      </c>
      <c r="S43" s="80">
        <v>3229200</v>
      </c>
      <c r="T43" s="80">
        <v>3229200</v>
      </c>
      <c r="U43" s="80">
        <v>0</v>
      </c>
      <c r="V43" s="80">
        <v>0</v>
      </c>
      <c r="W43" t="s">
        <v>688</v>
      </c>
      <c r="X43" t="s">
        <v>76</v>
      </c>
    </row>
    <row r="44" spans="1:24" ht="12.75" customHeight="1">
      <c r="A44" s="78" t="s">
        <v>708</v>
      </c>
      <c r="B44" s="79">
        <v>2024</v>
      </c>
      <c r="C44" s="78" t="s">
        <v>3</v>
      </c>
      <c r="D44" s="78" t="s">
        <v>154</v>
      </c>
      <c r="E44" s="78" t="s">
        <v>151</v>
      </c>
      <c r="F44" s="78" t="s">
        <v>236</v>
      </c>
      <c r="G44" s="78" t="s">
        <v>237</v>
      </c>
      <c r="H44" s="78" t="s">
        <v>186</v>
      </c>
      <c r="I44" s="78" t="s">
        <v>187</v>
      </c>
      <c r="J44" s="78" t="s">
        <v>38</v>
      </c>
      <c r="K44" s="78" t="s">
        <v>72</v>
      </c>
      <c r="L44" s="78" t="s">
        <v>165</v>
      </c>
      <c r="M44" s="78" t="s">
        <v>40</v>
      </c>
      <c r="N44" s="80">
        <v>1075444228</v>
      </c>
      <c r="O44" s="80">
        <v>902321228</v>
      </c>
      <c r="P44" s="80">
        <v>173123000</v>
      </c>
      <c r="Q44" s="80">
        <v>892153982</v>
      </c>
      <c r="R44" s="80">
        <v>109348050</v>
      </c>
      <c r="S44" s="80">
        <v>99786050</v>
      </c>
      <c r="T44" s="80">
        <v>99786050</v>
      </c>
      <c r="U44" s="80">
        <v>0</v>
      </c>
      <c r="V44" s="80">
        <v>0</v>
      </c>
      <c r="W44" t="s">
        <v>688</v>
      </c>
      <c r="X44" t="s">
        <v>76</v>
      </c>
    </row>
    <row r="45" spans="1:24" ht="12.75" customHeight="1">
      <c r="A45" s="78" t="s">
        <v>708</v>
      </c>
      <c r="B45" s="79">
        <v>2024</v>
      </c>
      <c r="C45" s="78" t="s">
        <v>3</v>
      </c>
      <c r="D45" s="78" t="s">
        <v>154</v>
      </c>
      <c r="E45" s="78" t="s">
        <v>151</v>
      </c>
      <c r="F45" s="78" t="s">
        <v>282</v>
      </c>
      <c r="G45" s="78" t="s">
        <v>283</v>
      </c>
      <c r="H45" s="78" t="s">
        <v>356</v>
      </c>
      <c r="I45" s="78" t="s">
        <v>357</v>
      </c>
      <c r="J45" s="78" t="s">
        <v>38</v>
      </c>
      <c r="K45" s="78" t="s">
        <v>72</v>
      </c>
      <c r="L45" s="78" t="s">
        <v>165</v>
      </c>
      <c r="M45" s="78" t="s">
        <v>40</v>
      </c>
      <c r="N45" s="80">
        <v>107000000</v>
      </c>
      <c r="O45" s="80">
        <v>0</v>
      </c>
      <c r="P45" s="80">
        <v>107000000</v>
      </c>
      <c r="Q45" s="80"/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t="s">
        <v>688</v>
      </c>
      <c r="X45" t="s">
        <v>76</v>
      </c>
    </row>
    <row r="46" spans="1:24" ht="12.75" customHeight="1">
      <c r="A46" s="78" t="s">
        <v>708</v>
      </c>
      <c r="B46" s="79">
        <v>2024</v>
      </c>
      <c r="C46" s="78" t="s">
        <v>3</v>
      </c>
      <c r="D46" s="78" t="s">
        <v>154</v>
      </c>
      <c r="E46" s="78" t="s">
        <v>151</v>
      </c>
      <c r="F46" s="78" t="s">
        <v>282</v>
      </c>
      <c r="G46" s="78" t="s">
        <v>283</v>
      </c>
      <c r="H46" s="78" t="s">
        <v>186</v>
      </c>
      <c r="I46" s="78" t="s">
        <v>187</v>
      </c>
      <c r="J46" s="78" t="s">
        <v>38</v>
      </c>
      <c r="K46" s="78" t="s">
        <v>72</v>
      </c>
      <c r="L46" s="78" t="s">
        <v>165</v>
      </c>
      <c r="M46" s="78" t="s">
        <v>40</v>
      </c>
      <c r="N46" s="80">
        <v>1388395000</v>
      </c>
      <c r="O46" s="80">
        <v>471443323</v>
      </c>
      <c r="P46" s="80">
        <v>916951677</v>
      </c>
      <c r="Q46" s="80">
        <v>449340007</v>
      </c>
      <c r="R46" s="80">
        <v>17083329</v>
      </c>
      <c r="S46" s="80">
        <v>17083329</v>
      </c>
      <c r="T46" s="80">
        <v>17083329</v>
      </c>
      <c r="U46" s="80">
        <v>0</v>
      </c>
      <c r="V46" s="80">
        <v>0</v>
      </c>
      <c r="W46" t="s">
        <v>688</v>
      </c>
      <c r="X46" t="s">
        <v>76</v>
      </c>
    </row>
    <row r="47" spans="1:24" ht="12.75" customHeight="1">
      <c r="A47" s="78" t="s">
        <v>708</v>
      </c>
      <c r="B47" s="79">
        <v>2024</v>
      </c>
      <c r="C47" s="78" t="s">
        <v>3</v>
      </c>
      <c r="D47" s="78" t="s">
        <v>154</v>
      </c>
      <c r="E47" s="78" t="s">
        <v>151</v>
      </c>
      <c r="F47" s="78" t="s">
        <v>358</v>
      </c>
      <c r="G47" s="78" t="s">
        <v>359</v>
      </c>
      <c r="H47" s="78" t="s">
        <v>168</v>
      </c>
      <c r="I47" s="78" t="s">
        <v>169</v>
      </c>
      <c r="J47" s="78" t="s">
        <v>38</v>
      </c>
      <c r="K47" s="78" t="s">
        <v>72</v>
      </c>
      <c r="L47" s="78" t="s">
        <v>165</v>
      </c>
      <c r="M47" s="78" t="s">
        <v>40</v>
      </c>
      <c r="N47" s="80">
        <v>559347200</v>
      </c>
      <c r="O47" s="80">
        <v>554426373</v>
      </c>
      <c r="P47" s="80">
        <v>4920827</v>
      </c>
      <c r="Q47" s="80">
        <v>550158382</v>
      </c>
      <c r="R47" s="80">
        <v>45285733</v>
      </c>
      <c r="S47" s="80">
        <v>45285733</v>
      </c>
      <c r="T47" s="80">
        <v>45285733</v>
      </c>
      <c r="U47" s="80">
        <v>0</v>
      </c>
      <c r="V47" s="80">
        <v>0</v>
      </c>
      <c r="W47" t="s">
        <v>688</v>
      </c>
      <c r="X47" t="s">
        <v>76</v>
      </c>
    </row>
    <row r="48" spans="1:24" ht="12.75" customHeight="1">
      <c r="A48" s="78" t="s">
        <v>708</v>
      </c>
      <c r="B48" s="79">
        <v>2024</v>
      </c>
      <c r="C48" s="78" t="s">
        <v>3</v>
      </c>
      <c r="D48" s="78" t="s">
        <v>154</v>
      </c>
      <c r="E48" s="78" t="s">
        <v>151</v>
      </c>
      <c r="F48" s="78" t="s">
        <v>360</v>
      </c>
      <c r="G48" s="78" t="s">
        <v>361</v>
      </c>
      <c r="H48" s="78" t="s">
        <v>362</v>
      </c>
      <c r="I48" s="78" t="s">
        <v>363</v>
      </c>
      <c r="J48" s="78" t="s">
        <v>38</v>
      </c>
      <c r="K48" s="78" t="s">
        <v>72</v>
      </c>
      <c r="L48" s="78" t="s">
        <v>165</v>
      </c>
      <c r="M48" s="78" t="s">
        <v>40</v>
      </c>
      <c r="N48" s="80">
        <v>1024853333</v>
      </c>
      <c r="O48" s="80">
        <v>646086667</v>
      </c>
      <c r="P48" s="80">
        <v>378766666</v>
      </c>
      <c r="Q48" s="80">
        <v>646086667</v>
      </c>
      <c r="R48" s="80">
        <v>69850008</v>
      </c>
      <c r="S48" s="80">
        <v>69850008</v>
      </c>
      <c r="T48" s="80">
        <v>69850008</v>
      </c>
      <c r="U48" s="80">
        <v>0</v>
      </c>
      <c r="V48" s="80">
        <v>0</v>
      </c>
      <c r="W48" t="s">
        <v>693</v>
      </c>
      <c r="X48" t="s">
        <v>76</v>
      </c>
    </row>
    <row r="49" spans="1:24" ht="12.75" customHeight="1">
      <c r="A49" s="78" t="s">
        <v>708</v>
      </c>
      <c r="B49" s="79">
        <v>2024</v>
      </c>
      <c r="C49" s="78" t="s">
        <v>3</v>
      </c>
      <c r="D49" s="78" t="s">
        <v>154</v>
      </c>
      <c r="E49" s="78" t="s">
        <v>151</v>
      </c>
      <c r="F49" s="78" t="s">
        <v>360</v>
      </c>
      <c r="G49" s="78" t="s">
        <v>361</v>
      </c>
      <c r="H49" s="78" t="s">
        <v>364</v>
      </c>
      <c r="I49" s="78" t="s">
        <v>365</v>
      </c>
      <c r="J49" s="78" t="s">
        <v>38</v>
      </c>
      <c r="K49" s="78" t="s">
        <v>72</v>
      </c>
      <c r="L49" s="78" t="s">
        <v>165</v>
      </c>
      <c r="M49" s="78" t="s">
        <v>40</v>
      </c>
      <c r="N49" s="80">
        <v>722036749</v>
      </c>
      <c r="O49" s="80">
        <v>700136522</v>
      </c>
      <c r="P49" s="80">
        <v>21900227</v>
      </c>
      <c r="Q49" s="80">
        <v>490575405</v>
      </c>
      <c r="R49" s="80">
        <v>51125490</v>
      </c>
      <c r="S49" s="80">
        <v>49420963</v>
      </c>
      <c r="T49" s="80">
        <v>49420963</v>
      </c>
      <c r="U49" s="80">
        <v>0</v>
      </c>
      <c r="V49" s="80">
        <v>0</v>
      </c>
      <c r="W49" t="s">
        <v>693</v>
      </c>
      <c r="X49" t="s">
        <v>76</v>
      </c>
    </row>
    <row r="50" spans="1:24" ht="12.75" customHeight="1">
      <c r="A50" s="78" t="s">
        <v>708</v>
      </c>
      <c r="B50" s="79">
        <v>2024</v>
      </c>
      <c r="C50" s="78" t="s">
        <v>3</v>
      </c>
      <c r="D50" s="78" t="s">
        <v>154</v>
      </c>
      <c r="E50" s="78" t="s">
        <v>151</v>
      </c>
      <c r="F50" s="78" t="s">
        <v>366</v>
      </c>
      <c r="G50" s="78" t="s">
        <v>367</v>
      </c>
      <c r="H50" s="78" t="s">
        <v>362</v>
      </c>
      <c r="I50" s="78" t="s">
        <v>363</v>
      </c>
      <c r="J50" s="78" t="s">
        <v>38</v>
      </c>
      <c r="K50" s="78" t="s">
        <v>72</v>
      </c>
      <c r="L50" s="78" t="s">
        <v>165</v>
      </c>
      <c r="M50" s="78" t="s">
        <v>40</v>
      </c>
      <c r="N50" s="80">
        <v>104737500</v>
      </c>
      <c r="O50" s="80">
        <v>104737500</v>
      </c>
      <c r="P50" s="80">
        <v>0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t="s">
        <v>693</v>
      </c>
      <c r="X50" t="s">
        <v>76</v>
      </c>
    </row>
    <row r="51" spans="1:24" ht="12.75" customHeight="1">
      <c r="A51" s="78" t="s">
        <v>708</v>
      </c>
      <c r="B51" s="79">
        <v>2024</v>
      </c>
      <c r="C51" s="78" t="s">
        <v>3</v>
      </c>
      <c r="D51" s="78" t="s">
        <v>154</v>
      </c>
      <c r="E51" s="78" t="s">
        <v>151</v>
      </c>
      <c r="F51" s="78" t="s">
        <v>366</v>
      </c>
      <c r="G51" s="78" t="s">
        <v>367</v>
      </c>
      <c r="H51" s="78" t="s">
        <v>368</v>
      </c>
      <c r="I51" s="78" t="s">
        <v>369</v>
      </c>
      <c r="J51" s="78" t="s">
        <v>38</v>
      </c>
      <c r="K51" s="78" t="s">
        <v>72</v>
      </c>
      <c r="L51" s="78" t="s">
        <v>165</v>
      </c>
      <c r="M51" s="78" t="s">
        <v>40</v>
      </c>
      <c r="N51" s="80">
        <v>235613000</v>
      </c>
      <c r="O51" s="80">
        <v>235613000</v>
      </c>
      <c r="P51" s="80">
        <v>0</v>
      </c>
      <c r="Q51" s="80">
        <v>234619000</v>
      </c>
      <c r="R51" s="80">
        <v>28301000</v>
      </c>
      <c r="S51" s="80">
        <v>28301000</v>
      </c>
      <c r="T51" s="80">
        <v>28301000</v>
      </c>
      <c r="U51" s="80">
        <v>0</v>
      </c>
      <c r="V51" s="80">
        <v>0</v>
      </c>
      <c r="W51" t="s">
        <v>693</v>
      </c>
      <c r="X51" t="s">
        <v>76</v>
      </c>
    </row>
    <row r="52" spans="1:24" ht="12.75" customHeight="1">
      <c r="A52" s="78" t="s">
        <v>708</v>
      </c>
      <c r="B52" s="79">
        <v>2024</v>
      </c>
      <c r="C52" s="78" t="s">
        <v>3</v>
      </c>
      <c r="D52" s="78" t="s">
        <v>154</v>
      </c>
      <c r="E52" s="78" t="s">
        <v>151</v>
      </c>
      <c r="F52" s="78" t="s">
        <v>366</v>
      </c>
      <c r="G52" s="78" t="s">
        <v>367</v>
      </c>
      <c r="H52" s="78" t="s">
        <v>370</v>
      </c>
      <c r="I52" s="78" t="s">
        <v>371</v>
      </c>
      <c r="J52" s="78" t="s">
        <v>38</v>
      </c>
      <c r="K52" s="78" t="s">
        <v>72</v>
      </c>
      <c r="L52" s="78" t="s">
        <v>165</v>
      </c>
      <c r="M52" s="78" t="s">
        <v>40</v>
      </c>
      <c r="N52" s="80">
        <v>1642003333</v>
      </c>
      <c r="O52" s="80">
        <v>1641537138</v>
      </c>
      <c r="P52" s="80">
        <v>466195</v>
      </c>
      <c r="Q52" s="80">
        <v>961295780</v>
      </c>
      <c r="R52" s="80">
        <v>103127080</v>
      </c>
      <c r="S52" s="80">
        <v>103127080</v>
      </c>
      <c r="T52" s="80">
        <v>102502080</v>
      </c>
      <c r="U52" s="80">
        <v>0</v>
      </c>
      <c r="V52" s="80">
        <v>0</v>
      </c>
      <c r="W52" t="s">
        <v>693</v>
      </c>
      <c r="X52" t="s">
        <v>76</v>
      </c>
    </row>
    <row r="53" spans="1:24" ht="12.75" customHeight="1">
      <c r="A53" s="78" t="s">
        <v>708</v>
      </c>
      <c r="B53" s="79">
        <v>2024</v>
      </c>
      <c r="C53" s="78" t="s">
        <v>3</v>
      </c>
      <c r="D53" s="78" t="s">
        <v>154</v>
      </c>
      <c r="E53" s="78" t="s">
        <v>151</v>
      </c>
      <c r="F53" s="78" t="s">
        <v>366</v>
      </c>
      <c r="G53" s="78" t="s">
        <v>367</v>
      </c>
      <c r="H53" s="78" t="s">
        <v>364</v>
      </c>
      <c r="I53" s="78" t="s">
        <v>365</v>
      </c>
      <c r="J53" s="78" t="s">
        <v>38</v>
      </c>
      <c r="K53" s="78" t="s">
        <v>72</v>
      </c>
      <c r="L53" s="78" t="s">
        <v>165</v>
      </c>
      <c r="M53" s="78" t="s">
        <v>40</v>
      </c>
      <c r="N53" s="80">
        <v>541418500</v>
      </c>
      <c r="O53" s="80">
        <v>541418500</v>
      </c>
      <c r="P53" s="80">
        <v>0</v>
      </c>
      <c r="Q53" s="80">
        <v>430380824</v>
      </c>
      <c r="R53" s="80">
        <v>47026833</v>
      </c>
      <c r="S53" s="80">
        <v>47026833</v>
      </c>
      <c r="T53" s="80">
        <v>47026833</v>
      </c>
      <c r="U53" s="80">
        <v>0</v>
      </c>
      <c r="V53" s="80">
        <v>0</v>
      </c>
      <c r="W53" t="s">
        <v>693</v>
      </c>
      <c r="X53" t="s">
        <v>76</v>
      </c>
    </row>
    <row r="54" spans="1:24" ht="12.75" customHeight="1">
      <c r="A54" s="78" t="s">
        <v>708</v>
      </c>
      <c r="B54" s="79">
        <v>2024</v>
      </c>
      <c r="C54" s="78" t="s">
        <v>3</v>
      </c>
      <c r="D54" s="78" t="s">
        <v>154</v>
      </c>
      <c r="E54" s="78" t="s">
        <v>151</v>
      </c>
      <c r="F54" s="78" t="s">
        <v>366</v>
      </c>
      <c r="G54" s="78" t="s">
        <v>367</v>
      </c>
      <c r="H54" s="78" t="s">
        <v>372</v>
      </c>
      <c r="I54" s="78" t="s">
        <v>373</v>
      </c>
      <c r="J54" s="78" t="s">
        <v>38</v>
      </c>
      <c r="K54" s="78" t="s">
        <v>72</v>
      </c>
      <c r="L54" s="78" t="s">
        <v>165</v>
      </c>
      <c r="M54" s="78" t="s">
        <v>40</v>
      </c>
      <c r="N54" s="80">
        <v>543776667</v>
      </c>
      <c r="O54" s="80">
        <v>543776667</v>
      </c>
      <c r="P54" s="80">
        <v>0</v>
      </c>
      <c r="Q54" s="80">
        <v>340993322</v>
      </c>
      <c r="R54" s="80">
        <v>29026667</v>
      </c>
      <c r="S54" s="80">
        <v>29026667</v>
      </c>
      <c r="T54" s="80">
        <v>29026667</v>
      </c>
      <c r="U54" s="80">
        <v>0</v>
      </c>
      <c r="V54" s="80">
        <v>0</v>
      </c>
      <c r="W54" t="s">
        <v>693</v>
      </c>
      <c r="X54" t="s">
        <v>76</v>
      </c>
    </row>
    <row r="55" spans="1:24" ht="12.75" customHeight="1">
      <c r="A55" s="78" t="s">
        <v>708</v>
      </c>
      <c r="B55" s="79">
        <v>2024</v>
      </c>
      <c r="C55" s="78" t="s">
        <v>3</v>
      </c>
      <c r="D55" s="78" t="s">
        <v>154</v>
      </c>
      <c r="E55" s="78" t="s">
        <v>151</v>
      </c>
      <c r="F55" s="78" t="s">
        <v>374</v>
      </c>
      <c r="G55" s="78" t="s">
        <v>375</v>
      </c>
      <c r="H55" s="78" t="s">
        <v>362</v>
      </c>
      <c r="I55" s="78" t="s">
        <v>363</v>
      </c>
      <c r="J55" s="78" t="s">
        <v>38</v>
      </c>
      <c r="K55" s="78" t="s">
        <v>72</v>
      </c>
      <c r="L55" s="78" t="s">
        <v>165</v>
      </c>
      <c r="M55" s="78" t="s">
        <v>40</v>
      </c>
      <c r="N55" s="80">
        <v>2858700000</v>
      </c>
      <c r="O55" s="80">
        <v>2858700000</v>
      </c>
      <c r="P55" s="80">
        <v>0</v>
      </c>
      <c r="Q55" s="80">
        <v>2823080000</v>
      </c>
      <c r="R55" s="80">
        <v>332299985</v>
      </c>
      <c r="S55" s="80">
        <v>332299985</v>
      </c>
      <c r="T55" s="80">
        <v>322033318</v>
      </c>
      <c r="U55" s="80">
        <v>0</v>
      </c>
      <c r="V55" s="80">
        <v>0</v>
      </c>
      <c r="W55" t="s">
        <v>693</v>
      </c>
      <c r="X55" t="s">
        <v>76</v>
      </c>
    </row>
    <row r="56" spans="1:24" ht="12.75" customHeight="1">
      <c r="A56" s="78" t="s">
        <v>708</v>
      </c>
      <c r="B56" s="79">
        <v>2024</v>
      </c>
      <c r="C56" s="78" t="s">
        <v>3</v>
      </c>
      <c r="D56" s="78" t="s">
        <v>154</v>
      </c>
      <c r="E56" s="78" t="s">
        <v>151</v>
      </c>
      <c r="F56" s="78" t="s">
        <v>374</v>
      </c>
      <c r="G56" s="78" t="s">
        <v>375</v>
      </c>
      <c r="H56" s="78" t="s">
        <v>368</v>
      </c>
      <c r="I56" s="78" t="s">
        <v>369</v>
      </c>
      <c r="J56" s="78" t="s">
        <v>38</v>
      </c>
      <c r="K56" s="78" t="s">
        <v>72</v>
      </c>
      <c r="L56" s="78" t="s">
        <v>165</v>
      </c>
      <c r="M56" s="78" t="s">
        <v>40</v>
      </c>
      <c r="N56" s="80">
        <v>442800000</v>
      </c>
      <c r="O56" s="80">
        <v>442800000</v>
      </c>
      <c r="P56" s="80">
        <v>0</v>
      </c>
      <c r="Q56" s="80">
        <v>442800000</v>
      </c>
      <c r="R56" s="80">
        <v>60000000</v>
      </c>
      <c r="S56" s="80">
        <v>60000000</v>
      </c>
      <c r="T56" s="80">
        <v>60000000</v>
      </c>
      <c r="U56" s="80">
        <v>0</v>
      </c>
      <c r="V56" s="80">
        <v>0</v>
      </c>
      <c r="W56" t="s">
        <v>693</v>
      </c>
      <c r="X56" t="s">
        <v>76</v>
      </c>
    </row>
    <row r="57" spans="1:24" ht="12.75" customHeight="1">
      <c r="A57" s="78" t="s">
        <v>708</v>
      </c>
      <c r="B57" s="79">
        <v>2024</v>
      </c>
      <c r="C57" s="78" t="s">
        <v>3</v>
      </c>
      <c r="D57" s="78" t="s">
        <v>154</v>
      </c>
      <c r="E57" s="78" t="s">
        <v>151</v>
      </c>
      <c r="F57" s="78" t="s">
        <v>374</v>
      </c>
      <c r="G57" s="78" t="s">
        <v>375</v>
      </c>
      <c r="H57" s="78" t="s">
        <v>370</v>
      </c>
      <c r="I57" s="78" t="s">
        <v>371</v>
      </c>
      <c r="J57" s="78" t="s">
        <v>38</v>
      </c>
      <c r="K57" s="78" t="s">
        <v>72</v>
      </c>
      <c r="L57" s="78" t="s">
        <v>165</v>
      </c>
      <c r="M57" s="78" t="s">
        <v>40</v>
      </c>
      <c r="N57" s="80">
        <v>1928484918</v>
      </c>
      <c r="O57" s="80">
        <v>1923742718</v>
      </c>
      <c r="P57" s="80">
        <v>4742200</v>
      </c>
      <c r="Q57" s="80">
        <v>1140990499</v>
      </c>
      <c r="R57" s="80">
        <v>163193024</v>
      </c>
      <c r="S57" s="80">
        <v>151243362</v>
      </c>
      <c r="T57" s="80">
        <v>147948623</v>
      </c>
      <c r="U57" s="80">
        <v>0</v>
      </c>
      <c r="V57" s="80">
        <v>0</v>
      </c>
      <c r="W57" t="s">
        <v>693</v>
      </c>
      <c r="X57" t="s">
        <v>76</v>
      </c>
    </row>
    <row r="58" spans="1:24" ht="12.75" customHeight="1">
      <c r="A58" s="78" t="s">
        <v>708</v>
      </c>
      <c r="B58" s="79">
        <v>2024</v>
      </c>
      <c r="C58" s="78" t="s">
        <v>3</v>
      </c>
      <c r="D58" s="78" t="s">
        <v>154</v>
      </c>
      <c r="E58" s="78" t="s">
        <v>151</v>
      </c>
      <c r="F58" s="78" t="s">
        <v>374</v>
      </c>
      <c r="G58" s="78" t="s">
        <v>375</v>
      </c>
      <c r="H58" s="78" t="s">
        <v>372</v>
      </c>
      <c r="I58" s="78" t="s">
        <v>373</v>
      </c>
      <c r="J58" s="78" t="s">
        <v>38</v>
      </c>
      <c r="K58" s="78" t="s">
        <v>72</v>
      </c>
      <c r="L58" s="78" t="s">
        <v>165</v>
      </c>
      <c r="M58" s="78" t="s">
        <v>40</v>
      </c>
      <c r="N58" s="80">
        <v>231000000</v>
      </c>
      <c r="O58" s="80">
        <v>231000000</v>
      </c>
      <c r="P58" s="80">
        <v>0</v>
      </c>
      <c r="Q58" s="80">
        <v>231000000</v>
      </c>
      <c r="R58" s="80">
        <v>27500000</v>
      </c>
      <c r="S58" s="80">
        <v>27500000</v>
      </c>
      <c r="T58" s="80">
        <v>16133333</v>
      </c>
      <c r="U58" s="80">
        <v>0</v>
      </c>
      <c r="V58" s="80">
        <v>0</v>
      </c>
      <c r="W58" t="s">
        <v>693</v>
      </c>
      <c r="X58" t="s">
        <v>76</v>
      </c>
    </row>
    <row r="59" spans="1:24" ht="12.75" customHeight="1">
      <c r="A59" s="78" t="s">
        <v>708</v>
      </c>
      <c r="B59" s="79">
        <v>2024</v>
      </c>
      <c r="C59" s="78" t="s">
        <v>3</v>
      </c>
      <c r="D59" s="78" t="s">
        <v>154</v>
      </c>
      <c r="E59" s="78" t="s">
        <v>151</v>
      </c>
      <c r="F59" s="78" t="s">
        <v>376</v>
      </c>
      <c r="G59" s="78" t="s">
        <v>377</v>
      </c>
      <c r="H59" s="78" t="s">
        <v>362</v>
      </c>
      <c r="I59" s="78" t="s">
        <v>363</v>
      </c>
      <c r="J59" s="78" t="s">
        <v>38</v>
      </c>
      <c r="K59" s="78" t="s">
        <v>72</v>
      </c>
      <c r="L59" s="78" t="s">
        <v>165</v>
      </c>
      <c r="M59" s="78" t="s">
        <v>40</v>
      </c>
      <c r="N59" s="80">
        <v>3327100000</v>
      </c>
      <c r="O59" s="80">
        <v>1669000000</v>
      </c>
      <c r="P59" s="80">
        <v>1658100000</v>
      </c>
      <c r="Q59" s="80">
        <v>1510600000</v>
      </c>
      <c r="R59" s="80">
        <v>138999995</v>
      </c>
      <c r="S59" s="80">
        <v>138999995</v>
      </c>
      <c r="T59" s="80">
        <v>138999995</v>
      </c>
      <c r="U59" s="80">
        <v>0</v>
      </c>
      <c r="V59" s="80">
        <v>0</v>
      </c>
      <c r="W59" t="s">
        <v>693</v>
      </c>
      <c r="X59" t="s">
        <v>76</v>
      </c>
    </row>
    <row r="60" spans="1:24" ht="12.75" customHeight="1">
      <c r="A60" s="78" t="s">
        <v>708</v>
      </c>
      <c r="B60" s="79">
        <v>2024</v>
      </c>
      <c r="C60" s="78" t="s">
        <v>3</v>
      </c>
      <c r="D60" s="78" t="s">
        <v>154</v>
      </c>
      <c r="E60" s="78" t="s">
        <v>151</v>
      </c>
      <c r="F60" s="78" t="s">
        <v>376</v>
      </c>
      <c r="G60" s="78" t="s">
        <v>377</v>
      </c>
      <c r="H60" s="78" t="s">
        <v>370</v>
      </c>
      <c r="I60" s="78" t="s">
        <v>371</v>
      </c>
      <c r="J60" s="78" t="s">
        <v>38</v>
      </c>
      <c r="K60" s="78" t="s">
        <v>72</v>
      </c>
      <c r="L60" s="78" t="s">
        <v>165</v>
      </c>
      <c r="M60" s="78" t="s">
        <v>40</v>
      </c>
      <c r="N60" s="80">
        <v>5618476000</v>
      </c>
      <c r="O60" s="80">
        <v>716436561</v>
      </c>
      <c r="P60" s="80">
        <v>4902039439</v>
      </c>
      <c r="Q60" s="80">
        <v>234553665</v>
      </c>
      <c r="R60" s="80">
        <v>30823445</v>
      </c>
      <c r="S60" s="80">
        <v>25338918</v>
      </c>
      <c r="T60" s="80">
        <v>23024391</v>
      </c>
      <c r="U60" s="80">
        <v>0</v>
      </c>
      <c r="V60" s="80">
        <v>0</v>
      </c>
      <c r="W60" t="s">
        <v>693</v>
      </c>
      <c r="X60" t="s">
        <v>76</v>
      </c>
    </row>
    <row r="61" spans="1:24" ht="12.75" customHeight="1">
      <c r="A61" s="78" t="s">
        <v>708</v>
      </c>
      <c r="B61" s="79">
        <v>2024</v>
      </c>
      <c r="C61" s="78" t="s">
        <v>3</v>
      </c>
      <c r="D61" s="78" t="s">
        <v>154</v>
      </c>
      <c r="E61" s="78" t="s">
        <v>151</v>
      </c>
      <c r="F61" s="78" t="s">
        <v>378</v>
      </c>
      <c r="G61" s="78" t="s">
        <v>379</v>
      </c>
      <c r="H61" s="78" t="s">
        <v>380</v>
      </c>
      <c r="I61" s="78" t="s">
        <v>381</v>
      </c>
      <c r="J61" s="78" t="s">
        <v>38</v>
      </c>
      <c r="K61" s="78" t="s">
        <v>39</v>
      </c>
      <c r="L61" s="78" t="s">
        <v>152</v>
      </c>
      <c r="M61" s="78" t="s">
        <v>40</v>
      </c>
      <c r="N61" s="80">
        <v>742390906700</v>
      </c>
      <c r="O61" s="80">
        <v>585440956389</v>
      </c>
      <c r="P61" s="80">
        <v>156949950311</v>
      </c>
      <c r="Q61" s="80">
        <v>585440956389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t="s">
        <v>686</v>
      </c>
      <c r="X61" t="s">
        <v>76</v>
      </c>
    </row>
    <row r="62" spans="1:24" ht="12.75" customHeight="1">
      <c r="A62" s="78" t="s">
        <v>708</v>
      </c>
      <c r="B62" s="79">
        <v>2024</v>
      </c>
      <c r="C62" s="78" t="s">
        <v>3</v>
      </c>
      <c r="D62" s="78" t="s">
        <v>154</v>
      </c>
      <c r="E62" s="78" t="s">
        <v>151</v>
      </c>
      <c r="F62" s="78" t="s">
        <v>378</v>
      </c>
      <c r="G62" s="78" t="s">
        <v>379</v>
      </c>
      <c r="H62" s="78" t="s">
        <v>382</v>
      </c>
      <c r="I62" s="78" t="s">
        <v>383</v>
      </c>
      <c r="J62" s="78" t="s">
        <v>38</v>
      </c>
      <c r="K62" s="78" t="s">
        <v>72</v>
      </c>
      <c r="L62" s="78" t="s">
        <v>165</v>
      </c>
      <c r="M62" s="78" t="s">
        <v>40</v>
      </c>
      <c r="N62" s="80">
        <v>2029378347</v>
      </c>
      <c r="O62" s="80">
        <v>1857471051</v>
      </c>
      <c r="P62" s="80">
        <v>171907296</v>
      </c>
      <c r="Q62" s="80">
        <v>516015123</v>
      </c>
      <c r="R62" s="80">
        <v>19349665</v>
      </c>
      <c r="S62" s="80">
        <v>19349665</v>
      </c>
      <c r="T62" s="80">
        <v>19349665</v>
      </c>
      <c r="U62" s="80">
        <v>0</v>
      </c>
      <c r="V62" s="80">
        <v>0</v>
      </c>
      <c r="W62" t="s">
        <v>694</v>
      </c>
      <c r="X62" t="s">
        <v>76</v>
      </c>
    </row>
    <row r="63" spans="1:24" ht="12.75" customHeight="1">
      <c r="A63" s="78" t="s">
        <v>708</v>
      </c>
      <c r="B63" s="79">
        <v>2024</v>
      </c>
      <c r="C63" s="78" t="s">
        <v>3</v>
      </c>
      <c r="D63" s="78" t="s">
        <v>154</v>
      </c>
      <c r="E63" s="78" t="s">
        <v>151</v>
      </c>
      <c r="F63" s="78" t="s">
        <v>378</v>
      </c>
      <c r="G63" s="78" t="s">
        <v>379</v>
      </c>
      <c r="H63" s="78" t="s">
        <v>384</v>
      </c>
      <c r="I63" s="78" t="s">
        <v>385</v>
      </c>
      <c r="J63" s="78" t="s">
        <v>38</v>
      </c>
      <c r="K63" s="78" t="s">
        <v>72</v>
      </c>
      <c r="L63" s="78" t="s">
        <v>165</v>
      </c>
      <c r="M63" s="78" t="s">
        <v>40</v>
      </c>
      <c r="N63" s="80">
        <v>417087667</v>
      </c>
      <c r="O63" s="80">
        <v>120102667</v>
      </c>
      <c r="P63" s="80">
        <v>296985000</v>
      </c>
      <c r="Q63" s="80">
        <v>116549324</v>
      </c>
      <c r="R63" s="80">
        <v>9949324</v>
      </c>
      <c r="S63" s="80">
        <v>9949324</v>
      </c>
      <c r="T63" s="80">
        <v>9949324</v>
      </c>
      <c r="U63" s="80">
        <v>0</v>
      </c>
      <c r="V63" s="80">
        <v>0</v>
      </c>
      <c r="W63" t="s">
        <v>694</v>
      </c>
      <c r="X63" t="s">
        <v>76</v>
      </c>
    </row>
    <row r="64" spans="1:24" ht="12.75" customHeight="1">
      <c r="A64" s="78" t="s">
        <v>708</v>
      </c>
      <c r="B64" s="79">
        <v>2024</v>
      </c>
      <c r="C64" s="78" t="s">
        <v>3</v>
      </c>
      <c r="D64" s="78" t="s">
        <v>154</v>
      </c>
      <c r="E64" s="78" t="s">
        <v>151</v>
      </c>
      <c r="F64" s="78" t="s">
        <v>378</v>
      </c>
      <c r="G64" s="78" t="s">
        <v>379</v>
      </c>
      <c r="H64" s="78" t="s">
        <v>386</v>
      </c>
      <c r="I64" s="78" t="s">
        <v>387</v>
      </c>
      <c r="J64" s="78" t="s">
        <v>38</v>
      </c>
      <c r="K64" s="78" t="s">
        <v>72</v>
      </c>
      <c r="L64" s="78" t="s">
        <v>165</v>
      </c>
      <c r="M64" s="78" t="s">
        <v>40</v>
      </c>
      <c r="N64" s="80">
        <v>4106120114</v>
      </c>
      <c r="O64" s="80">
        <v>1298780865</v>
      </c>
      <c r="P64" s="80">
        <v>2807339249</v>
      </c>
      <c r="Q64" s="80">
        <v>884033496</v>
      </c>
      <c r="R64" s="80">
        <v>52131067</v>
      </c>
      <c r="S64" s="80">
        <v>52131067</v>
      </c>
      <c r="T64" s="80">
        <v>52131067</v>
      </c>
      <c r="U64" s="80">
        <v>0</v>
      </c>
      <c r="V64" s="80">
        <v>0</v>
      </c>
      <c r="W64" t="s">
        <v>694</v>
      </c>
      <c r="X64" t="s">
        <v>76</v>
      </c>
    </row>
    <row r="65" spans="1:24" ht="12.75" customHeight="1">
      <c r="A65" s="78" t="s">
        <v>708</v>
      </c>
      <c r="B65" s="79">
        <v>2024</v>
      </c>
      <c r="C65" s="78" t="s">
        <v>3</v>
      </c>
      <c r="D65" s="78" t="s">
        <v>154</v>
      </c>
      <c r="E65" s="78" t="s">
        <v>151</v>
      </c>
      <c r="F65" s="78" t="s">
        <v>378</v>
      </c>
      <c r="G65" s="78" t="s">
        <v>379</v>
      </c>
      <c r="H65" s="78" t="s">
        <v>388</v>
      </c>
      <c r="I65" s="78" t="s">
        <v>389</v>
      </c>
      <c r="J65" s="78" t="s">
        <v>38</v>
      </c>
      <c r="K65" s="78" t="s">
        <v>72</v>
      </c>
      <c r="L65" s="78" t="s">
        <v>165</v>
      </c>
      <c r="M65" s="78" t="s">
        <v>40</v>
      </c>
      <c r="N65" s="80">
        <v>979855441</v>
      </c>
      <c r="O65" s="80">
        <v>815263844</v>
      </c>
      <c r="P65" s="80">
        <v>164591597</v>
      </c>
      <c r="Q65" s="80">
        <v>695873341</v>
      </c>
      <c r="R65" s="80">
        <v>59874108</v>
      </c>
      <c r="S65" s="80">
        <v>59874108</v>
      </c>
      <c r="T65" s="80">
        <v>59874108</v>
      </c>
      <c r="U65" s="80">
        <v>0</v>
      </c>
      <c r="V65" s="80">
        <v>0</v>
      </c>
      <c r="W65" t="s">
        <v>694</v>
      </c>
      <c r="X65" t="s">
        <v>76</v>
      </c>
    </row>
    <row r="66" spans="1:24" ht="12.75" customHeight="1">
      <c r="A66" s="78" t="s">
        <v>708</v>
      </c>
      <c r="B66" s="79">
        <v>2024</v>
      </c>
      <c r="C66" s="78" t="s">
        <v>3</v>
      </c>
      <c r="D66" s="78" t="s">
        <v>154</v>
      </c>
      <c r="E66" s="78" t="s">
        <v>151</v>
      </c>
      <c r="F66" s="78" t="s">
        <v>390</v>
      </c>
      <c r="G66" s="78" t="s">
        <v>391</v>
      </c>
      <c r="H66" s="78" t="s">
        <v>392</v>
      </c>
      <c r="I66" s="78" t="s">
        <v>393</v>
      </c>
      <c r="J66" s="78" t="s">
        <v>38</v>
      </c>
      <c r="K66" s="78" t="s">
        <v>72</v>
      </c>
      <c r="L66" s="78" t="s">
        <v>165</v>
      </c>
      <c r="M66" s="78" t="s">
        <v>40</v>
      </c>
      <c r="N66" s="80">
        <v>779467392</v>
      </c>
      <c r="O66" s="80">
        <v>662333332</v>
      </c>
      <c r="P66" s="80">
        <v>117134060</v>
      </c>
      <c r="Q66" s="80">
        <v>641896669</v>
      </c>
      <c r="R66" s="80">
        <v>23553326</v>
      </c>
      <c r="S66" s="80">
        <v>23553326</v>
      </c>
      <c r="T66" s="80">
        <v>17813333</v>
      </c>
      <c r="U66" s="80">
        <v>0</v>
      </c>
      <c r="V66" s="80">
        <v>0</v>
      </c>
      <c r="W66" t="s">
        <v>694</v>
      </c>
      <c r="X66" t="s">
        <v>76</v>
      </c>
    </row>
    <row r="67" spans="1:24" ht="12.75" customHeight="1">
      <c r="A67" s="78" t="s">
        <v>708</v>
      </c>
      <c r="B67" s="79">
        <v>2024</v>
      </c>
      <c r="C67" s="78" t="s">
        <v>3</v>
      </c>
      <c r="D67" s="78" t="s">
        <v>154</v>
      </c>
      <c r="E67" s="78" t="s">
        <v>151</v>
      </c>
      <c r="F67" s="78" t="s">
        <v>390</v>
      </c>
      <c r="G67" s="78" t="s">
        <v>391</v>
      </c>
      <c r="H67" s="78" t="s">
        <v>384</v>
      </c>
      <c r="I67" s="78" t="s">
        <v>385</v>
      </c>
      <c r="J67" s="78" t="s">
        <v>38</v>
      </c>
      <c r="K67" s="78" t="s">
        <v>72</v>
      </c>
      <c r="L67" s="78" t="s">
        <v>165</v>
      </c>
      <c r="M67" s="78" t="s">
        <v>40</v>
      </c>
      <c r="N67" s="80">
        <v>7246366582</v>
      </c>
      <c r="O67" s="80">
        <v>7121436632</v>
      </c>
      <c r="P67" s="80">
        <v>124929950</v>
      </c>
      <c r="Q67" s="80">
        <v>6702826678</v>
      </c>
      <c r="R67" s="80">
        <v>589633339</v>
      </c>
      <c r="S67" s="80">
        <v>572033339</v>
      </c>
      <c r="T67" s="80">
        <v>510013330</v>
      </c>
      <c r="U67" s="80">
        <v>0</v>
      </c>
      <c r="V67" s="80">
        <v>0</v>
      </c>
      <c r="W67" t="s">
        <v>694</v>
      </c>
      <c r="X67" t="s">
        <v>76</v>
      </c>
    </row>
    <row r="68" spans="1:24" ht="12.75" customHeight="1">
      <c r="A68" s="78" t="s">
        <v>708</v>
      </c>
      <c r="B68" s="79">
        <v>2024</v>
      </c>
      <c r="C68" s="78" t="s">
        <v>3</v>
      </c>
      <c r="D68" s="78" t="s">
        <v>154</v>
      </c>
      <c r="E68" s="78" t="s">
        <v>151</v>
      </c>
      <c r="F68" s="78" t="s">
        <v>390</v>
      </c>
      <c r="G68" s="78" t="s">
        <v>391</v>
      </c>
      <c r="H68" s="78" t="s">
        <v>386</v>
      </c>
      <c r="I68" s="78" t="s">
        <v>387</v>
      </c>
      <c r="J68" s="78" t="s">
        <v>38</v>
      </c>
      <c r="K68" s="78" t="s">
        <v>72</v>
      </c>
      <c r="L68" s="78" t="s">
        <v>165</v>
      </c>
      <c r="M68" s="78" t="s">
        <v>40</v>
      </c>
      <c r="N68" s="80">
        <v>1390720447</v>
      </c>
      <c r="O68" s="80">
        <v>1387320447</v>
      </c>
      <c r="P68" s="80">
        <v>3400000</v>
      </c>
      <c r="Q68" s="80">
        <v>1025991849</v>
      </c>
      <c r="R68" s="80">
        <v>115797780</v>
      </c>
      <c r="S68" s="80">
        <v>115797780</v>
      </c>
      <c r="T68" s="80">
        <v>112197780</v>
      </c>
      <c r="U68" s="80">
        <v>0</v>
      </c>
      <c r="V68" s="80">
        <v>0</v>
      </c>
      <c r="W68" t="s">
        <v>694</v>
      </c>
      <c r="X68" t="s">
        <v>76</v>
      </c>
    </row>
    <row r="69" spans="1:24" ht="12.75" customHeight="1">
      <c r="A69" s="78" t="s">
        <v>708</v>
      </c>
      <c r="B69" s="79">
        <v>2024</v>
      </c>
      <c r="C69" s="78" t="s">
        <v>3</v>
      </c>
      <c r="D69" s="78" t="s">
        <v>154</v>
      </c>
      <c r="E69" s="78" t="s">
        <v>151</v>
      </c>
      <c r="F69" s="78" t="s">
        <v>394</v>
      </c>
      <c r="G69" s="78" t="s">
        <v>395</v>
      </c>
      <c r="H69" s="78" t="s">
        <v>386</v>
      </c>
      <c r="I69" s="78" t="s">
        <v>387</v>
      </c>
      <c r="J69" s="78" t="s">
        <v>38</v>
      </c>
      <c r="K69" s="78" t="s">
        <v>72</v>
      </c>
      <c r="L69" s="78" t="s">
        <v>165</v>
      </c>
      <c r="M69" s="78" t="s">
        <v>40</v>
      </c>
      <c r="N69" s="80">
        <v>1235449073</v>
      </c>
      <c r="O69" s="80">
        <v>1235449073</v>
      </c>
      <c r="P69" s="80">
        <v>0</v>
      </c>
      <c r="Q69" s="80">
        <v>869295730</v>
      </c>
      <c r="R69" s="80">
        <v>81627533</v>
      </c>
      <c r="S69" s="80">
        <v>69573533</v>
      </c>
      <c r="T69" s="80">
        <v>53319533</v>
      </c>
      <c r="U69" s="80">
        <v>0</v>
      </c>
      <c r="V69" s="80">
        <v>0</v>
      </c>
      <c r="W69" t="s">
        <v>694</v>
      </c>
      <c r="X69" t="s">
        <v>76</v>
      </c>
    </row>
    <row r="70" spans="1:24" ht="12.75" customHeight="1">
      <c r="A70" s="78" t="s">
        <v>708</v>
      </c>
      <c r="B70" s="79">
        <v>2024</v>
      </c>
      <c r="C70" s="78" t="s">
        <v>3</v>
      </c>
      <c r="D70" s="78" t="s">
        <v>154</v>
      </c>
      <c r="E70" s="78" t="s">
        <v>151</v>
      </c>
      <c r="F70" s="78" t="s">
        <v>394</v>
      </c>
      <c r="G70" s="78" t="s">
        <v>395</v>
      </c>
      <c r="H70" s="78" t="s">
        <v>388</v>
      </c>
      <c r="I70" s="78" t="s">
        <v>389</v>
      </c>
      <c r="J70" s="78" t="s">
        <v>38</v>
      </c>
      <c r="K70" s="78" t="s">
        <v>72</v>
      </c>
      <c r="L70" s="78" t="s">
        <v>165</v>
      </c>
      <c r="M70" s="78" t="s">
        <v>40</v>
      </c>
      <c r="N70" s="80">
        <v>1248462708</v>
      </c>
      <c r="O70" s="80">
        <v>1230981694</v>
      </c>
      <c r="P70" s="80">
        <v>17481014</v>
      </c>
      <c r="Q70" s="80">
        <v>954664987</v>
      </c>
      <c r="R70" s="80">
        <v>50299995</v>
      </c>
      <c r="S70" s="80">
        <v>50299995</v>
      </c>
      <c r="T70" s="80">
        <v>50299995</v>
      </c>
      <c r="U70" s="80">
        <v>0</v>
      </c>
      <c r="V70" s="80">
        <v>0</v>
      </c>
      <c r="W70" t="s">
        <v>694</v>
      </c>
      <c r="X70" t="s">
        <v>76</v>
      </c>
    </row>
    <row r="71" spans="1:24" ht="12.75" customHeight="1">
      <c r="A71" s="78" t="s">
        <v>708</v>
      </c>
      <c r="B71" s="79">
        <v>2024</v>
      </c>
      <c r="C71" s="78" t="s">
        <v>3</v>
      </c>
      <c r="D71" s="78" t="s">
        <v>154</v>
      </c>
      <c r="E71" s="78" t="s">
        <v>151</v>
      </c>
      <c r="F71" s="78" t="s">
        <v>394</v>
      </c>
      <c r="G71" s="78" t="s">
        <v>395</v>
      </c>
      <c r="H71" s="78" t="s">
        <v>396</v>
      </c>
      <c r="I71" s="78" t="s">
        <v>397</v>
      </c>
      <c r="J71" s="78" t="s">
        <v>38</v>
      </c>
      <c r="K71" s="78" t="s">
        <v>72</v>
      </c>
      <c r="L71" s="78" t="s">
        <v>165</v>
      </c>
      <c r="M71" s="78" t="s">
        <v>40</v>
      </c>
      <c r="N71" s="80">
        <v>1934092229</v>
      </c>
      <c r="O71" s="80">
        <v>1934092229</v>
      </c>
      <c r="P71" s="80">
        <v>0</v>
      </c>
      <c r="Q71" s="80">
        <v>1411846994</v>
      </c>
      <c r="R71" s="80">
        <v>117175337</v>
      </c>
      <c r="S71" s="80">
        <v>117175337</v>
      </c>
      <c r="T71" s="80">
        <v>108345337</v>
      </c>
      <c r="U71" s="80">
        <v>0</v>
      </c>
      <c r="V71" s="80">
        <v>0</v>
      </c>
      <c r="W71" t="s">
        <v>694</v>
      </c>
      <c r="X71" t="s">
        <v>76</v>
      </c>
    </row>
    <row r="72" spans="1:24" ht="12.75" customHeight="1">
      <c r="A72" s="78" t="s">
        <v>708</v>
      </c>
      <c r="B72" s="79">
        <v>2024</v>
      </c>
      <c r="C72" s="78" t="s">
        <v>3</v>
      </c>
      <c r="D72" s="78" t="s">
        <v>154</v>
      </c>
      <c r="E72" s="78" t="s">
        <v>151</v>
      </c>
      <c r="F72" s="78" t="s">
        <v>400</v>
      </c>
      <c r="G72" s="78" t="s">
        <v>401</v>
      </c>
      <c r="H72" s="78" t="s">
        <v>402</v>
      </c>
      <c r="I72" s="78" t="s">
        <v>403</v>
      </c>
      <c r="J72" s="78" t="s">
        <v>38</v>
      </c>
      <c r="K72" s="78" t="s">
        <v>72</v>
      </c>
      <c r="L72" s="78" t="s">
        <v>165</v>
      </c>
      <c r="M72" s="78" t="s">
        <v>40</v>
      </c>
      <c r="N72" s="80">
        <v>538962757</v>
      </c>
      <c r="O72" s="80">
        <v>270638720</v>
      </c>
      <c r="P72" s="80">
        <v>268324037</v>
      </c>
      <c r="Q72" s="80">
        <v>265118980</v>
      </c>
      <c r="R72" s="80">
        <v>32154400</v>
      </c>
      <c r="S72" s="80">
        <v>32154400</v>
      </c>
      <c r="T72" s="80">
        <v>32154400</v>
      </c>
      <c r="U72" s="80">
        <v>0</v>
      </c>
      <c r="V72" s="80">
        <v>0</v>
      </c>
      <c r="W72" t="s">
        <v>695</v>
      </c>
      <c r="X72" t="s">
        <v>76</v>
      </c>
    </row>
    <row r="73" spans="1:24" ht="12.75" customHeight="1">
      <c r="A73" s="78" t="s">
        <v>708</v>
      </c>
      <c r="B73" s="79">
        <v>2024</v>
      </c>
      <c r="C73" s="78" t="s">
        <v>3</v>
      </c>
      <c r="D73" s="78" t="s">
        <v>154</v>
      </c>
      <c r="E73" s="78" t="s">
        <v>151</v>
      </c>
      <c r="F73" s="78" t="s">
        <v>400</v>
      </c>
      <c r="G73" s="78" t="s">
        <v>401</v>
      </c>
      <c r="H73" s="78" t="s">
        <v>404</v>
      </c>
      <c r="I73" s="78" t="s">
        <v>405</v>
      </c>
      <c r="J73" s="78" t="s">
        <v>38</v>
      </c>
      <c r="K73" s="78" t="s">
        <v>72</v>
      </c>
      <c r="L73" s="78" t="s">
        <v>165</v>
      </c>
      <c r="M73" s="78" t="s">
        <v>40</v>
      </c>
      <c r="N73" s="80">
        <v>0</v>
      </c>
      <c r="O73" s="80">
        <v>0</v>
      </c>
      <c r="P73" s="80">
        <v>0</v>
      </c>
      <c r="Q73" s="80"/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t="s">
        <v>695</v>
      </c>
      <c r="X73" t="s">
        <v>76</v>
      </c>
    </row>
    <row r="74" spans="1:24" ht="12.75" customHeight="1">
      <c r="A74" s="78" t="s">
        <v>708</v>
      </c>
      <c r="B74" s="79">
        <v>2024</v>
      </c>
      <c r="C74" s="78" t="s">
        <v>3</v>
      </c>
      <c r="D74" s="78" t="s">
        <v>154</v>
      </c>
      <c r="E74" s="78" t="s">
        <v>151</v>
      </c>
      <c r="F74" s="78" t="s">
        <v>400</v>
      </c>
      <c r="G74" s="78" t="s">
        <v>401</v>
      </c>
      <c r="H74" s="78" t="s">
        <v>406</v>
      </c>
      <c r="I74" s="78" t="s">
        <v>407</v>
      </c>
      <c r="J74" s="78" t="s">
        <v>38</v>
      </c>
      <c r="K74" s="78" t="s">
        <v>72</v>
      </c>
      <c r="L74" s="78" t="s">
        <v>165</v>
      </c>
      <c r="M74" s="78" t="s">
        <v>40</v>
      </c>
      <c r="N74" s="80">
        <v>3049859520</v>
      </c>
      <c r="O74" s="80">
        <v>3049859520</v>
      </c>
      <c r="P74" s="80">
        <v>0</v>
      </c>
      <c r="Q74" s="80">
        <v>3049859520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t="s">
        <v>695</v>
      </c>
      <c r="X74" t="s">
        <v>76</v>
      </c>
    </row>
    <row r="75" spans="1:24" ht="12.75" customHeight="1">
      <c r="A75" s="78" t="s">
        <v>708</v>
      </c>
      <c r="B75" s="79">
        <v>2024</v>
      </c>
      <c r="C75" s="78" t="s">
        <v>3</v>
      </c>
      <c r="D75" s="78" t="s">
        <v>154</v>
      </c>
      <c r="E75" s="78" t="s">
        <v>151</v>
      </c>
      <c r="F75" s="78" t="s">
        <v>400</v>
      </c>
      <c r="G75" s="78" t="s">
        <v>401</v>
      </c>
      <c r="H75" s="78" t="s">
        <v>408</v>
      </c>
      <c r="I75" s="78" t="s">
        <v>409</v>
      </c>
      <c r="J75" s="78" t="s">
        <v>38</v>
      </c>
      <c r="K75" s="78" t="s">
        <v>72</v>
      </c>
      <c r="L75" s="78" t="s">
        <v>165</v>
      </c>
      <c r="M75" s="78" t="s">
        <v>40</v>
      </c>
      <c r="N75" s="80">
        <v>918990333</v>
      </c>
      <c r="O75" s="80">
        <v>889234575</v>
      </c>
      <c r="P75" s="80">
        <v>29755758</v>
      </c>
      <c r="Q75" s="80">
        <v>774607377</v>
      </c>
      <c r="R75" s="80">
        <v>61668056</v>
      </c>
      <c r="S75" s="80">
        <v>61668056</v>
      </c>
      <c r="T75" s="80">
        <v>52072523</v>
      </c>
      <c r="U75" s="80">
        <v>0</v>
      </c>
      <c r="V75" s="80">
        <v>0</v>
      </c>
      <c r="W75" t="s">
        <v>695</v>
      </c>
      <c r="X75" t="s">
        <v>76</v>
      </c>
    </row>
    <row r="76" spans="1:24" ht="12.75" customHeight="1">
      <c r="A76" s="78" t="s">
        <v>708</v>
      </c>
      <c r="B76" s="79">
        <v>2024</v>
      </c>
      <c r="C76" s="78" t="s">
        <v>3</v>
      </c>
      <c r="D76" s="78" t="s">
        <v>154</v>
      </c>
      <c r="E76" s="78" t="s">
        <v>151</v>
      </c>
      <c r="F76" s="78" t="s">
        <v>400</v>
      </c>
      <c r="G76" s="78" t="s">
        <v>401</v>
      </c>
      <c r="H76" s="78" t="s">
        <v>410</v>
      </c>
      <c r="I76" s="78" t="s">
        <v>411</v>
      </c>
      <c r="J76" s="78" t="s">
        <v>38</v>
      </c>
      <c r="K76" s="78" t="s">
        <v>72</v>
      </c>
      <c r="L76" s="78" t="s">
        <v>165</v>
      </c>
      <c r="M76" s="78" t="s">
        <v>40</v>
      </c>
      <c r="N76" s="80">
        <v>620906000</v>
      </c>
      <c r="O76" s="80">
        <v>617990000</v>
      </c>
      <c r="P76" s="80">
        <v>2916000</v>
      </c>
      <c r="Q76" s="80">
        <v>548576948</v>
      </c>
      <c r="R76" s="80">
        <v>41198406</v>
      </c>
      <c r="S76" s="80">
        <v>41198406</v>
      </c>
      <c r="T76" s="80">
        <v>22198406</v>
      </c>
      <c r="U76" s="80">
        <v>0</v>
      </c>
      <c r="V76" s="80">
        <v>0</v>
      </c>
      <c r="W76" t="s">
        <v>695</v>
      </c>
      <c r="X76" t="s">
        <v>76</v>
      </c>
    </row>
    <row r="77" spans="1:24" ht="12.75" customHeight="1">
      <c r="A77" s="78" t="s">
        <v>708</v>
      </c>
      <c r="B77" s="79">
        <v>2024</v>
      </c>
      <c r="C77" s="78" t="s">
        <v>3</v>
      </c>
      <c r="D77" s="78" t="s">
        <v>154</v>
      </c>
      <c r="E77" s="78" t="s">
        <v>151</v>
      </c>
      <c r="F77" s="78" t="s">
        <v>400</v>
      </c>
      <c r="G77" s="78" t="s">
        <v>401</v>
      </c>
      <c r="H77" s="78" t="s">
        <v>412</v>
      </c>
      <c r="I77" s="78" t="s">
        <v>413</v>
      </c>
      <c r="J77" s="78" t="s">
        <v>38</v>
      </c>
      <c r="K77" s="78" t="s">
        <v>72</v>
      </c>
      <c r="L77" s="78" t="s">
        <v>165</v>
      </c>
      <c r="M77" s="78" t="s">
        <v>40</v>
      </c>
      <c r="N77" s="80">
        <v>2295696400</v>
      </c>
      <c r="O77" s="80">
        <v>281004000</v>
      </c>
      <c r="P77" s="80">
        <v>2014692400</v>
      </c>
      <c r="Q77" s="80">
        <v>279420670</v>
      </c>
      <c r="R77" s="80">
        <v>26923076</v>
      </c>
      <c r="S77" s="80">
        <v>26923076</v>
      </c>
      <c r="T77" s="80">
        <v>26923076</v>
      </c>
      <c r="U77" s="80">
        <v>0</v>
      </c>
      <c r="V77" s="80">
        <v>0</v>
      </c>
      <c r="W77" t="s">
        <v>695</v>
      </c>
      <c r="X77" t="s">
        <v>76</v>
      </c>
    </row>
    <row r="78" spans="1:24" ht="12.75" customHeight="1">
      <c r="A78" s="78" t="s">
        <v>708</v>
      </c>
      <c r="B78" s="79">
        <v>2024</v>
      </c>
      <c r="C78" s="78" t="s">
        <v>3</v>
      </c>
      <c r="D78" s="78" t="s">
        <v>154</v>
      </c>
      <c r="E78" s="78" t="s">
        <v>151</v>
      </c>
      <c r="F78" s="78" t="s">
        <v>400</v>
      </c>
      <c r="G78" s="78" t="s">
        <v>401</v>
      </c>
      <c r="H78" s="78" t="s">
        <v>414</v>
      </c>
      <c r="I78" s="78" t="s">
        <v>415</v>
      </c>
      <c r="J78" s="78" t="s">
        <v>38</v>
      </c>
      <c r="K78" s="78" t="s">
        <v>72</v>
      </c>
      <c r="L78" s="78" t="s">
        <v>165</v>
      </c>
      <c r="M78" s="78" t="s">
        <v>40</v>
      </c>
      <c r="N78" s="80">
        <v>2050997600</v>
      </c>
      <c r="O78" s="80">
        <v>1871788989</v>
      </c>
      <c r="P78" s="80">
        <v>179208611</v>
      </c>
      <c r="Q78" s="80">
        <v>1740241921</v>
      </c>
      <c r="R78" s="80">
        <v>141498692</v>
      </c>
      <c r="S78" s="80">
        <v>131998692</v>
      </c>
      <c r="T78" s="80">
        <v>103545025</v>
      </c>
      <c r="U78" s="80">
        <v>0</v>
      </c>
      <c r="V78" s="80">
        <v>0</v>
      </c>
      <c r="W78" t="s">
        <v>695</v>
      </c>
      <c r="X78" t="s">
        <v>76</v>
      </c>
    </row>
    <row r="79" spans="1:24" ht="12.75" customHeight="1">
      <c r="A79" s="78" t="s">
        <v>708</v>
      </c>
      <c r="B79" s="79">
        <v>2024</v>
      </c>
      <c r="C79" s="78" t="s">
        <v>3</v>
      </c>
      <c r="D79" s="78" t="s">
        <v>154</v>
      </c>
      <c r="E79" s="78" t="s">
        <v>151</v>
      </c>
      <c r="F79" s="78" t="s">
        <v>400</v>
      </c>
      <c r="G79" s="78" t="s">
        <v>401</v>
      </c>
      <c r="H79" s="78" t="s">
        <v>416</v>
      </c>
      <c r="I79" s="78" t="s">
        <v>417</v>
      </c>
      <c r="J79" s="78" t="s">
        <v>38</v>
      </c>
      <c r="K79" s="78" t="s">
        <v>72</v>
      </c>
      <c r="L79" s="78" t="s">
        <v>165</v>
      </c>
      <c r="M79" s="78" t="s">
        <v>40</v>
      </c>
      <c r="N79" s="80">
        <v>11524587390</v>
      </c>
      <c r="O79" s="80">
        <v>9904698420</v>
      </c>
      <c r="P79" s="80">
        <v>1619888970</v>
      </c>
      <c r="Q79" s="80">
        <v>1126269150</v>
      </c>
      <c r="R79" s="80">
        <v>64597590</v>
      </c>
      <c r="S79" s="80">
        <v>64597590</v>
      </c>
      <c r="T79" s="80">
        <v>49806450</v>
      </c>
      <c r="U79" s="80">
        <v>0</v>
      </c>
      <c r="V79" s="80">
        <v>0</v>
      </c>
      <c r="W79" t="s">
        <v>695</v>
      </c>
      <c r="X79" t="s">
        <v>76</v>
      </c>
    </row>
    <row r="80" spans="1:24" ht="12.75" customHeight="1">
      <c r="A80" s="78" t="s">
        <v>708</v>
      </c>
      <c r="B80" s="79">
        <v>2024</v>
      </c>
      <c r="C80" s="78" t="s">
        <v>3</v>
      </c>
      <c r="D80" s="78" t="s">
        <v>418</v>
      </c>
      <c r="E80" s="78" t="s">
        <v>419</v>
      </c>
      <c r="F80" s="78" t="s">
        <v>366</v>
      </c>
      <c r="G80" s="78" t="s">
        <v>367</v>
      </c>
      <c r="H80" s="78" t="s">
        <v>420</v>
      </c>
      <c r="I80" s="78" t="s">
        <v>421</v>
      </c>
      <c r="J80" s="78" t="s">
        <v>38</v>
      </c>
      <c r="K80" s="78" t="s">
        <v>85</v>
      </c>
      <c r="L80" s="78" t="s">
        <v>422</v>
      </c>
      <c r="M80" s="78" t="s">
        <v>40</v>
      </c>
      <c r="N80" s="80">
        <v>1267014897</v>
      </c>
      <c r="O80" s="80">
        <v>597962057</v>
      </c>
      <c r="P80" s="80">
        <v>669052840</v>
      </c>
      <c r="Q80" s="80">
        <v>597962057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t="s">
        <v>685</v>
      </c>
      <c r="X80" t="s">
        <v>76</v>
      </c>
    </row>
    <row r="81" spans="1:24" ht="12.75" customHeight="1">
      <c r="A81" s="78" t="s">
        <v>708</v>
      </c>
      <c r="B81" s="79">
        <v>2024</v>
      </c>
      <c r="C81" s="78" t="s">
        <v>3</v>
      </c>
      <c r="D81" s="78" t="s">
        <v>418</v>
      </c>
      <c r="E81" s="78" t="s">
        <v>419</v>
      </c>
      <c r="F81" s="78" t="s">
        <v>374</v>
      </c>
      <c r="G81" s="78" t="s">
        <v>375</v>
      </c>
      <c r="H81" s="78" t="s">
        <v>423</v>
      </c>
      <c r="I81" s="78" t="s">
        <v>424</v>
      </c>
      <c r="J81" s="78" t="s">
        <v>38</v>
      </c>
      <c r="K81" s="78" t="s">
        <v>85</v>
      </c>
      <c r="L81" s="78" t="s">
        <v>422</v>
      </c>
      <c r="M81" s="78" t="s">
        <v>40</v>
      </c>
      <c r="N81" s="80">
        <v>495655771</v>
      </c>
      <c r="O81" s="80">
        <v>272339048</v>
      </c>
      <c r="P81" s="80">
        <v>223316723</v>
      </c>
      <c r="Q81" s="80">
        <v>272339048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t="s">
        <v>685</v>
      </c>
      <c r="X81" t="s">
        <v>76</v>
      </c>
    </row>
    <row r="82" spans="1:24" ht="12.75" customHeight="1">
      <c r="A82" s="78" t="s">
        <v>708</v>
      </c>
      <c r="B82" s="79">
        <v>2024</v>
      </c>
      <c r="C82" s="78" t="s">
        <v>3</v>
      </c>
      <c r="D82" s="78" t="s">
        <v>418</v>
      </c>
      <c r="E82" s="78" t="s">
        <v>419</v>
      </c>
      <c r="F82" s="78" t="s">
        <v>376</v>
      </c>
      <c r="G82" s="78" t="s">
        <v>377</v>
      </c>
      <c r="H82" s="78" t="s">
        <v>423</v>
      </c>
      <c r="I82" s="78" t="s">
        <v>424</v>
      </c>
      <c r="J82" s="78" t="s">
        <v>38</v>
      </c>
      <c r="K82" s="78" t="s">
        <v>85</v>
      </c>
      <c r="L82" s="78" t="s">
        <v>422</v>
      </c>
      <c r="M82" s="78" t="s">
        <v>40</v>
      </c>
      <c r="N82" s="80">
        <v>4265538332</v>
      </c>
      <c r="O82" s="80">
        <v>3061227103</v>
      </c>
      <c r="P82" s="80">
        <v>1204311229</v>
      </c>
      <c r="Q82" s="80">
        <v>3061227103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t="s">
        <v>685</v>
      </c>
      <c r="X82" t="s">
        <v>76</v>
      </c>
    </row>
    <row r="83" spans="1:24" ht="12.75" customHeight="1">
      <c r="A83" s="78" t="s">
        <v>708</v>
      </c>
      <c r="B83" s="79">
        <v>2024</v>
      </c>
      <c r="C83" s="78" t="s">
        <v>3</v>
      </c>
      <c r="D83" s="78" t="s">
        <v>425</v>
      </c>
      <c r="E83" s="78" t="s">
        <v>426</v>
      </c>
      <c r="F83" s="78" t="s">
        <v>234</v>
      </c>
      <c r="G83" s="78" t="s">
        <v>235</v>
      </c>
      <c r="H83" s="78" t="s">
        <v>427</v>
      </c>
      <c r="I83" s="78" t="s">
        <v>428</v>
      </c>
      <c r="J83" s="78" t="s">
        <v>38</v>
      </c>
      <c r="K83" s="78" t="s">
        <v>85</v>
      </c>
      <c r="L83" s="78" t="s">
        <v>422</v>
      </c>
      <c r="M83" s="78" t="s">
        <v>40</v>
      </c>
      <c r="N83" s="80">
        <v>123900000</v>
      </c>
      <c r="O83" s="80">
        <v>0</v>
      </c>
      <c r="P83" s="80">
        <v>123900000</v>
      </c>
      <c r="Q83" s="80"/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t="s">
        <v>696</v>
      </c>
      <c r="X83" t="s">
        <v>76</v>
      </c>
    </row>
    <row r="84" spans="1:24" ht="12.75" customHeight="1">
      <c r="A84" s="78" t="s">
        <v>708</v>
      </c>
      <c r="B84" s="79">
        <v>2024</v>
      </c>
      <c r="C84" s="78" t="s">
        <v>3</v>
      </c>
      <c r="D84" s="78" t="s">
        <v>425</v>
      </c>
      <c r="E84" s="78" t="s">
        <v>426</v>
      </c>
      <c r="F84" s="78" t="s">
        <v>274</v>
      </c>
      <c r="G84" s="78" t="s">
        <v>275</v>
      </c>
      <c r="H84" s="78" t="s">
        <v>427</v>
      </c>
      <c r="I84" s="78" t="s">
        <v>428</v>
      </c>
      <c r="J84" s="78" t="s">
        <v>38</v>
      </c>
      <c r="K84" s="78" t="s">
        <v>85</v>
      </c>
      <c r="L84" s="78" t="s">
        <v>422</v>
      </c>
      <c r="M84" s="78" t="s">
        <v>40</v>
      </c>
      <c r="N84" s="80">
        <v>160000000</v>
      </c>
      <c r="O84" s="80">
        <v>0</v>
      </c>
      <c r="P84" s="80">
        <v>160000000</v>
      </c>
      <c r="Q84" s="80"/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t="s">
        <v>696</v>
      </c>
      <c r="X84" t="s">
        <v>76</v>
      </c>
    </row>
    <row r="85" spans="1:24" ht="12.75" customHeight="1">
      <c r="A85" s="78" t="s">
        <v>708</v>
      </c>
      <c r="B85" s="79">
        <v>2024</v>
      </c>
      <c r="C85" s="78" t="s">
        <v>3</v>
      </c>
      <c r="D85" s="78" t="s">
        <v>425</v>
      </c>
      <c r="E85" s="78" t="s">
        <v>426</v>
      </c>
      <c r="F85" s="78" t="s">
        <v>274</v>
      </c>
      <c r="G85" s="78" t="s">
        <v>275</v>
      </c>
      <c r="H85" s="78" t="s">
        <v>429</v>
      </c>
      <c r="I85" s="78" t="s">
        <v>430</v>
      </c>
      <c r="J85" s="78" t="s">
        <v>38</v>
      </c>
      <c r="K85" s="78" t="s">
        <v>85</v>
      </c>
      <c r="L85" s="78" t="s">
        <v>422</v>
      </c>
      <c r="M85" s="78" t="s">
        <v>40</v>
      </c>
      <c r="N85" s="80">
        <v>287995000</v>
      </c>
      <c r="O85" s="80">
        <v>195160000</v>
      </c>
      <c r="P85" s="80">
        <v>92835000</v>
      </c>
      <c r="Q85" s="80">
        <v>181493333</v>
      </c>
      <c r="R85" s="80">
        <v>17493333</v>
      </c>
      <c r="S85" s="80">
        <v>17493333</v>
      </c>
      <c r="T85" s="80">
        <v>17493333</v>
      </c>
      <c r="U85" s="80">
        <v>0</v>
      </c>
      <c r="V85" s="80">
        <v>0</v>
      </c>
      <c r="W85" t="s">
        <v>696</v>
      </c>
      <c r="X85" t="s">
        <v>76</v>
      </c>
    </row>
    <row r="86" spans="1:24" ht="12.75" customHeight="1">
      <c r="A86" s="78" t="s">
        <v>708</v>
      </c>
      <c r="B86" s="79">
        <v>2024</v>
      </c>
      <c r="C86" s="78" t="s">
        <v>3</v>
      </c>
      <c r="D86" s="78" t="s">
        <v>425</v>
      </c>
      <c r="E86" s="78" t="s">
        <v>426</v>
      </c>
      <c r="F86" s="78" t="s">
        <v>358</v>
      </c>
      <c r="G86" s="78" t="s">
        <v>359</v>
      </c>
      <c r="H86" s="78" t="s">
        <v>427</v>
      </c>
      <c r="I86" s="78" t="s">
        <v>428</v>
      </c>
      <c r="J86" s="78" t="s">
        <v>38</v>
      </c>
      <c r="K86" s="78" t="s">
        <v>85</v>
      </c>
      <c r="L86" s="78" t="s">
        <v>422</v>
      </c>
      <c r="M86" s="78" t="s">
        <v>40</v>
      </c>
      <c r="N86" s="80">
        <v>309000000</v>
      </c>
      <c r="O86" s="80">
        <v>118999881</v>
      </c>
      <c r="P86" s="80">
        <v>190000119</v>
      </c>
      <c r="Q86" s="80">
        <v>110666666</v>
      </c>
      <c r="R86" s="80">
        <v>10666666</v>
      </c>
      <c r="S86" s="80">
        <v>10666666</v>
      </c>
      <c r="T86" s="80">
        <v>10666666</v>
      </c>
      <c r="U86" s="80">
        <v>0</v>
      </c>
      <c r="V86" s="80">
        <v>0</v>
      </c>
      <c r="W86" t="s">
        <v>696</v>
      </c>
      <c r="X86" t="s">
        <v>76</v>
      </c>
    </row>
    <row r="87" spans="1:24" ht="12.75" customHeight="1">
      <c r="A87" s="78" t="s">
        <v>708</v>
      </c>
      <c r="B87" s="79">
        <v>2024</v>
      </c>
      <c r="C87" s="78" t="s">
        <v>3</v>
      </c>
      <c r="D87" s="78" t="s">
        <v>425</v>
      </c>
      <c r="E87" s="78" t="s">
        <v>426</v>
      </c>
      <c r="F87" s="78" t="s">
        <v>358</v>
      </c>
      <c r="G87" s="78" t="s">
        <v>359</v>
      </c>
      <c r="H87" s="78" t="s">
        <v>429</v>
      </c>
      <c r="I87" s="78" t="s">
        <v>430</v>
      </c>
      <c r="J87" s="78" t="s">
        <v>38</v>
      </c>
      <c r="K87" s="78" t="s">
        <v>85</v>
      </c>
      <c r="L87" s="78" t="s">
        <v>422</v>
      </c>
      <c r="M87" s="78" t="s">
        <v>40</v>
      </c>
      <c r="N87" s="80">
        <v>166600000</v>
      </c>
      <c r="O87" s="80">
        <v>164266652</v>
      </c>
      <c r="P87" s="80">
        <v>2333348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t="s">
        <v>696</v>
      </c>
      <c r="X87" t="s">
        <v>76</v>
      </c>
    </row>
    <row r="88" spans="1:24" ht="12.75" customHeight="1">
      <c r="A88" s="78" t="s">
        <v>708</v>
      </c>
      <c r="B88" s="79">
        <v>2024</v>
      </c>
      <c r="C88" s="78" t="s">
        <v>3</v>
      </c>
      <c r="D88" s="78" t="s">
        <v>425</v>
      </c>
      <c r="E88" s="78" t="s">
        <v>426</v>
      </c>
      <c r="F88" s="78" t="s">
        <v>374</v>
      </c>
      <c r="G88" s="78" t="s">
        <v>375</v>
      </c>
      <c r="H88" s="78" t="s">
        <v>431</v>
      </c>
      <c r="I88" s="78" t="s">
        <v>432</v>
      </c>
      <c r="J88" s="78" t="s">
        <v>38</v>
      </c>
      <c r="K88" s="78" t="s">
        <v>85</v>
      </c>
      <c r="L88" s="78" t="s">
        <v>422</v>
      </c>
      <c r="M88" s="78" t="s">
        <v>40</v>
      </c>
      <c r="N88" s="80">
        <v>1752732456</v>
      </c>
      <c r="O88" s="80">
        <v>1459332456</v>
      </c>
      <c r="P88" s="80">
        <v>293400000</v>
      </c>
      <c r="Q88" s="80">
        <v>698699123</v>
      </c>
      <c r="R88" s="80">
        <v>8470000</v>
      </c>
      <c r="S88" s="80">
        <v>8470000</v>
      </c>
      <c r="T88" s="80">
        <v>8470000</v>
      </c>
      <c r="U88" s="80">
        <v>0</v>
      </c>
      <c r="V88" s="80">
        <v>0</v>
      </c>
      <c r="W88" t="s">
        <v>696</v>
      </c>
      <c r="X88" t="s">
        <v>76</v>
      </c>
    </row>
    <row r="89" spans="1:24" ht="12.75" customHeight="1">
      <c r="A89" s="78" t="s">
        <v>708</v>
      </c>
      <c r="B89" s="79">
        <v>2024</v>
      </c>
      <c r="C89" s="78" t="s">
        <v>3</v>
      </c>
      <c r="D89" s="78" t="s">
        <v>425</v>
      </c>
      <c r="E89" s="78" t="s">
        <v>426</v>
      </c>
      <c r="F89" s="78" t="s">
        <v>374</v>
      </c>
      <c r="G89" s="78" t="s">
        <v>375</v>
      </c>
      <c r="H89" s="78" t="s">
        <v>433</v>
      </c>
      <c r="I89" s="78" t="s">
        <v>434</v>
      </c>
      <c r="J89" s="78" t="s">
        <v>38</v>
      </c>
      <c r="K89" s="78" t="s">
        <v>85</v>
      </c>
      <c r="L89" s="78" t="s">
        <v>422</v>
      </c>
      <c r="M89" s="78" t="s">
        <v>40</v>
      </c>
      <c r="N89" s="80">
        <v>700000000</v>
      </c>
      <c r="O89" s="80">
        <v>0</v>
      </c>
      <c r="P89" s="80">
        <v>700000000</v>
      </c>
      <c r="Q89" s="80"/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t="s">
        <v>696</v>
      </c>
      <c r="X89" t="s">
        <v>76</v>
      </c>
    </row>
    <row r="90" spans="1:24" ht="12.75" customHeight="1">
      <c r="A90" s="78" t="s">
        <v>708</v>
      </c>
      <c r="B90" s="79">
        <v>2024</v>
      </c>
      <c r="C90" s="78" t="s">
        <v>3</v>
      </c>
      <c r="D90" s="78" t="s">
        <v>425</v>
      </c>
      <c r="E90" s="78" t="s">
        <v>426</v>
      </c>
      <c r="F90" s="78" t="s">
        <v>374</v>
      </c>
      <c r="G90" s="78" t="s">
        <v>375</v>
      </c>
      <c r="H90" s="78" t="s">
        <v>435</v>
      </c>
      <c r="I90" s="78" t="s">
        <v>436</v>
      </c>
      <c r="J90" s="78" t="s">
        <v>38</v>
      </c>
      <c r="K90" s="78" t="s">
        <v>85</v>
      </c>
      <c r="L90" s="78" t="s">
        <v>422</v>
      </c>
      <c r="M90" s="78" t="s">
        <v>40</v>
      </c>
      <c r="N90" s="80">
        <v>12003003335</v>
      </c>
      <c r="O90" s="80">
        <v>1585203335</v>
      </c>
      <c r="P90" s="80">
        <v>10417800000</v>
      </c>
      <c r="Q90" s="80">
        <v>745830000</v>
      </c>
      <c r="R90" s="80">
        <v>16396677</v>
      </c>
      <c r="S90" s="80">
        <v>15590010</v>
      </c>
      <c r="T90" s="80">
        <v>15590010</v>
      </c>
      <c r="U90" s="80">
        <v>0</v>
      </c>
      <c r="V90" s="80">
        <v>0</v>
      </c>
      <c r="W90" t="s">
        <v>696</v>
      </c>
      <c r="X90" t="s">
        <v>76</v>
      </c>
    </row>
    <row r="91" spans="1:24" ht="12.75" customHeight="1">
      <c r="A91" s="78" t="s">
        <v>708</v>
      </c>
      <c r="B91" s="79">
        <v>2024</v>
      </c>
      <c r="C91" s="78" t="s">
        <v>3</v>
      </c>
      <c r="D91" s="78" t="s">
        <v>425</v>
      </c>
      <c r="E91" s="78" t="s">
        <v>426</v>
      </c>
      <c r="F91" s="78" t="s">
        <v>374</v>
      </c>
      <c r="G91" s="78" t="s">
        <v>375</v>
      </c>
      <c r="H91" s="78" t="s">
        <v>437</v>
      </c>
      <c r="I91" s="78" t="s">
        <v>438</v>
      </c>
      <c r="J91" s="78" t="s">
        <v>38</v>
      </c>
      <c r="K91" s="78" t="s">
        <v>85</v>
      </c>
      <c r="L91" s="78" t="s">
        <v>422</v>
      </c>
      <c r="M91" s="78" t="s">
        <v>40</v>
      </c>
      <c r="N91" s="80">
        <v>1367973334</v>
      </c>
      <c r="O91" s="80">
        <v>967973334</v>
      </c>
      <c r="P91" s="80">
        <v>400000000</v>
      </c>
      <c r="Q91" s="80">
        <v>632740000</v>
      </c>
      <c r="R91" s="80">
        <v>49400014</v>
      </c>
      <c r="S91" s="80">
        <v>37933340</v>
      </c>
      <c r="T91" s="80">
        <v>37933340</v>
      </c>
      <c r="U91" s="80">
        <v>0</v>
      </c>
      <c r="V91" s="80">
        <v>0</v>
      </c>
      <c r="W91" t="s">
        <v>696</v>
      </c>
      <c r="X91" t="s">
        <v>76</v>
      </c>
    </row>
    <row r="92" spans="1:24" ht="12.75" customHeight="1">
      <c r="A92" s="78" t="s">
        <v>708</v>
      </c>
      <c r="B92" s="79">
        <v>2024</v>
      </c>
      <c r="C92" s="78" t="s">
        <v>3</v>
      </c>
      <c r="D92" s="78" t="s">
        <v>425</v>
      </c>
      <c r="E92" s="78" t="s">
        <v>426</v>
      </c>
      <c r="F92" s="78" t="s">
        <v>374</v>
      </c>
      <c r="G92" s="78" t="s">
        <v>375</v>
      </c>
      <c r="H92" s="78" t="s">
        <v>427</v>
      </c>
      <c r="I92" s="78" t="s">
        <v>428</v>
      </c>
      <c r="J92" s="78" t="s">
        <v>38</v>
      </c>
      <c r="K92" s="78" t="s">
        <v>85</v>
      </c>
      <c r="L92" s="78" t="s">
        <v>422</v>
      </c>
      <c r="M92" s="78" t="s">
        <v>40</v>
      </c>
      <c r="N92" s="80">
        <v>1635719733</v>
      </c>
      <c r="O92" s="80">
        <v>918653067</v>
      </c>
      <c r="P92" s="80">
        <v>717066666</v>
      </c>
      <c r="Q92" s="80">
        <v>222770000</v>
      </c>
      <c r="R92" s="80">
        <v>12695320</v>
      </c>
      <c r="S92" s="80">
        <v>12695320</v>
      </c>
      <c r="T92" s="80">
        <v>12695320</v>
      </c>
      <c r="U92" s="80">
        <v>0</v>
      </c>
      <c r="V92" s="80">
        <v>0</v>
      </c>
      <c r="W92" t="s">
        <v>696</v>
      </c>
      <c r="X92" t="s">
        <v>76</v>
      </c>
    </row>
    <row r="93" spans="1:24" ht="12.75" customHeight="1">
      <c r="A93" s="78" t="s">
        <v>708</v>
      </c>
      <c r="B93" s="79">
        <v>2024</v>
      </c>
      <c r="C93" s="78" t="s">
        <v>3</v>
      </c>
      <c r="D93" s="78" t="s">
        <v>425</v>
      </c>
      <c r="E93" s="78" t="s">
        <v>426</v>
      </c>
      <c r="F93" s="78" t="s">
        <v>374</v>
      </c>
      <c r="G93" s="78" t="s">
        <v>375</v>
      </c>
      <c r="H93" s="78" t="s">
        <v>429</v>
      </c>
      <c r="I93" s="78" t="s">
        <v>430</v>
      </c>
      <c r="J93" s="78" t="s">
        <v>38</v>
      </c>
      <c r="K93" s="78" t="s">
        <v>85</v>
      </c>
      <c r="L93" s="78" t="s">
        <v>422</v>
      </c>
      <c r="M93" s="78" t="s">
        <v>40</v>
      </c>
      <c r="N93" s="80">
        <v>1993076142</v>
      </c>
      <c r="O93" s="80">
        <v>1993076142</v>
      </c>
      <c r="P93" s="80">
        <v>0</v>
      </c>
      <c r="Q93" s="80">
        <v>1438898346</v>
      </c>
      <c r="R93" s="80">
        <v>87974395</v>
      </c>
      <c r="S93" s="80">
        <v>70662289</v>
      </c>
      <c r="T93" s="80">
        <v>70662289</v>
      </c>
      <c r="U93" s="80">
        <v>0</v>
      </c>
      <c r="V93" s="80">
        <v>0</v>
      </c>
      <c r="W93" t="s">
        <v>696</v>
      </c>
      <c r="X93" t="s">
        <v>76</v>
      </c>
    </row>
    <row r="94" spans="1:24" ht="12.75" customHeight="1">
      <c r="A94" s="78" t="s">
        <v>708</v>
      </c>
      <c r="B94" s="79">
        <v>2024</v>
      </c>
      <c r="C94" s="78" t="s">
        <v>3</v>
      </c>
      <c r="D94" s="78" t="s">
        <v>439</v>
      </c>
      <c r="E94" s="78" t="s">
        <v>440</v>
      </c>
      <c r="F94" s="78" t="s">
        <v>206</v>
      </c>
      <c r="G94" s="78" t="s">
        <v>207</v>
      </c>
      <c r="H94" s="78" t="s">
        <v>441</v>
      </c>
      <c r="I94" s="78" t="s">
        <v>442</v>
      </c>
      <c r="J94" s="78" t="s">
        <v>38</v>
      </c>
      <c r="K94" s="78" t="s">
        <v>85</v>
      </c>
      <c r="L94" s="78" t="s">
        <v>422</v>
      </c>
      <c r="M94" s="78" t="s">
        <v>40</v>
      </c>
      <c r="N94" s="80">
        <v>5395919270</v>
      </c>
      <c r="O94" s="80">
        <v>5395919270</v>
      </c>
      <c r="P94" s="80">
        <v>0</v>
      </c>
      <c r="Q94" s="80">
        <v>5395919270</v>
      </c>
      <c r="R94" s="80">
        <v>0</v>
      </c>
      <c r="S94" s="80">
        <v>0</v>
      </c>
      <c r="T94" s="80">
        <v>0</v>
      </c>
      <c r="U94" s="80">
        <v>0</v>
      </c>
      <c r="V94" s="80">
        <v>0</v>
      </c>
      <c r="W94" t="s">
        <v>697</v>
      </c>
      <c r="X94" t="s">
        <v>76</v>
      </c>
    </row>
    <row r="95" spans="1:24" ht="12.75" customHeight="1">
      <c r="A95" s="78" t="s">
        <v>708</v>
      </c>
      <c r="B95" s="79">
        <v>2024</v>
      </c>
      <c r="C95" s="78" t="s">
        <v>3</v>
      </c>
      <c r="D95" s="78" t="s">
        <v>439</v>
      </c>
      <c r="E95" s="78" t="s">
        <v>440</v>
      </c>
      <c r="F95" s="78" t="s">
        <v>206</v>
      </c>
      <c r="G95" s="78" t="s">
        <v>207</v>
      </c>
      <c r="H95" s="78" t="s">
        <v>443</v>
      </c>
      <c r="I95" s="78" t="s">
        <v>444</v>
      </c>
      <c r="J95" s="78" t="s">
        <v>38</v>
      </c>
      <c r="K95" s="78" t="s">
        <v>85</v>
      </c>
      <c r="L95" s="78" t="s">
        <v>422</v>
      </c>
      <c r="M95" s="78" t="s">
        <v>40</v>
      </c>
      <c r="N95" s="80">
        <v>4267705632</v>
      </c>
      <c r="O95" s="80">
        <v>898186415</v>
      </c>
      <c r="P95" s="80">
        <v>3369519217</v>
      </c>
      <c r="Q95" s="80">
        <v>898186415</v>
      </c>
      <c r="R95" s="80">
        <v>0</v>
      </c>
      <c r="S95" s="80">
        <v>0</v>
      </c>
      <c r="T95" s="80">
        <v>0</v>
      </c>
      <c r="U95" s="80">
        <v>0</v>
      </c>
      <c r="V95" s="80">
        <v>0</v>
      </c>
      <c r="W95" t="s">
        <v>697</v>
      </c>
      <c r="X95" t="s">
        <v>76</v>
      </c>
    </row>
    <row r="96" spans="1:24" ht="12.75" customHeight="1">
      <c r="A96" s="78" t="s">
        <v>708</v>
      </c>
      <c r="B96" s="79">
        <v>2024</v>
      </c>
      <c r="C96" s="78" t="s">
        <v>3</v>
      </c>
      <c r="D96" s="78" t="s">
        <v>439</v>
      </c>
      <c r="E96" s="78" t="s">
        <v>440</v>
      </c>
      <c r="F96" s="78" t="s">
        <v>206</v>
      </c>
      <c r="G96" s="78" t="s">
        <v>207</v>
      </c>
      <c r="H96" s="78" t="s">
        <v>445</v>
      </c>
      <c r="I96" s="78" t="s">
        <v>446</v>
      </c>
      <c r="J96" s="78" t="s">
        <v>38</v>
      </c>
      <c r="K96" s="78" t="s">
        <v>85</v>
      </c>
      <c r="L96" s="78" t="s">
        <v>422</v>
      </c>
      <c r="M96" s="78" t="s">
        <v>40</v>
      </c>
      <c r="N96" s="80">
        <v>2710933335</v>
      </c>
      <c r="O96" s="80">
        <v>0</v>
      </c>
      <c r="P96" s="80">
        <v>2710933335</v>
      </c>
      <c r="Q96" s="80"/>
      <c r="R96" s="80">
        <v>0</v>
      </c>
      <c r="S96" s="80">
        <v>0</v>
      </c>
      <c r="T96" s="80">
        <v>0</v>
      </c>
      <c r="U96" s="80">
        <v>0</v>
      </c>
      <c r="V96" s="80">
        <v>0</v>
      </c>
      <c r="W96" t="s">
        <v>697</v>
      </c>
      <c r="X96" t="s">
        <v>76</v>
      </c>
    </row>
    <row r="97" spans="1:24" ht="12.75" customHeight="1">
      <c r="A97" s="78" t="s">
        <v>708</v>
      </c>
      <c r="B97" s="79">
        <v>2024</v>
      </c>
      <c r="C97" s="78" t="s">
        <v>3</v>
      </c>
      <c r="D97" s="78" t="s">
        <v>439</v>
      </c>
      <c r="E97" s="78" t="s">
        <v>440</v>
      </c>
      <c r="F97" s="78" t="s">
        <v>206</v>
      </c>
      <c r="G97" s="78" t="s">
        <v>207</v>
      </c>
      <c r="H97" s="78" t="s">
        <v>447</v>
      </c>
      <c r="I97" s="78" t="s">
        <v>448</v>
      </c>
      <c r="J97" s="78" t="s">
        <v>38</v>
      </c>
      <c r="K97" s="78" t="s">
        <v>85</v>
      </c>
      <c r="L97" s="78" t="s">
        <v>422</v>
      </c>
      <c r="M97" s="78" t="s">
        <v>40</v>
      </c>
      <c r="N97" s="80">
        <v>97905488</v>
      </c>
      <c r="O97" s="80">
        <v>97905488</v>
      </c>
      <c r="P97" s="80">
        <v>0</v>
      </c>
      <c r="Q97" s="80">
        <v>97905488</v>
      </c>
      <c r="R97" s="80">
        <v>0</v>
      </c>
      <c r="S97" s="80">
        <v>0</v>
      </c>
      <c r="T97" s="80">
        <v>0</v>
      </c>
      <c r="U97" s="80">
        <v>0</v>
      </c>
      <c r="V97" s="80">
        <v>0</v>
      </c>
      <c r="W97" t="s">
        <v>697</v>
      </c>
      <c r="X97" t="s">
        <v>76</v>
      </c>
    </row>
    <row r="98" spans="1:24" ht="12.75" customHeight="1">
      <c r="A98" s="78" t="s">
        <v>708</v>
      </c>
      <c r="B98" s="79">
        <v>2024</v>
      </c>
      <c r="C98" s="78" t="s">
        <v>3</v>
      </c>
      <c r="D98" s="78" t="s">
        <v>439</v>
      </c>
      <c r="E98" s="78" t="s">
        <v>440</v>
      </c>
      <c r="F98" s="78" t="s">
        <v>206</v>
      </c>
      <c r="G98" s="78" t="s">
        <v>207</v>
      </c>
      <c r="H98" s="78" t="s">
        <v>449</v>
      </c>
      <c r="I98" s="78" t="s">
        <v>446</v>
      </c>
      <c r="J98" s="78" t="s">
        <v>38</v>
      </c>
      <c r="K98" s="78" t="s">
        <v>85</v>
      </c>
      <c r="L98" s="78" t="s">
        <v>422</v>
      </c>
      <c r="M98" s="78" t="s">
        <v>40</v>
      </c>
      <c r="N98" s="80">
        <v>271224800</v>
      </c>
      <c r="O98" s="80">
        <v>271224800</v>
      </c>
      <c r="P98" s="80">
        <v>0</v>
      </c>
      <c r="Q98" s="80">
        <v>271224800</v>
      </c>
      <c r="R98" s="80">
        <v>0</v>
      </c>
      <c r="S98" s="80">
        <v>0</v>
      </c>
      <c r="T98" s="80">
        <v>0</v>
      </c>
      <c r="U98" s="80">
        <v>0</v>
      </c>
      <c r="V98" s="80">
        <v>0</v>
      </c>
      <c r="W98" t="s">
        <v>697</v>
      </c>
      <c r="X98" t="s">
        <v>76</v>
      </c>
    </row>
    <row r="99" spans="1:24" ht="12.75" customHeight="1">
      <c r="A99" s="78" t="s">
        <v>708</v>
      </c>
      <c r="B99" s="79">
        <v>2024</v>
      </c>
      <c r="C99" s="78" t="s">
        <v>3</v>
      </c>
      <c r="D99" s="78" t="s">
        <v>439</v>
      </c>
      <c r="E99" s="78" t="s">
        <v>440</v>
      </c>
      <c r="F99" s="78" t="s">
        <v>206</v>
      </c>
      <c r="G99" s="78" t="s">
        <v>207</v>
      </c>
      <c r="H99" s="78" t="s">
        <v>450</v>
      </c>
      <c r="I99" s="78" t="s">
        <v>442</v>
      </c>
      <c r="J99" s="78" t="s">
        <v>38</v>
      </c>
      <c r="K99" s="78" t="s">
        <v>85</v>
      </c>
      <c r="L99" s="78" t="s">
        <v>422</v>
      </c>
      <c r="M99" s="78" t="s">
        <v>40</v>
      </c>
      <c r="N99" s="80">
        <v>458808504</v>
      </c>
      <c r="O99" s="80">
        <v>458808504</v>
      </c>
      <c r="P99" s="80">
        <v>0</v>
      </c>
      <c r="Q99" s="80">
        <v>270899178</v>
      </c>
      <c r="R99" s="80">
        <v>39249600</v>
      </c>
      <c r="S99" s="80">
        <v>39249600</v>
      </c>
      <c r="T99" s="80">
        <v>39249600</v>
      </c>
      <c r="U99" s="80">
        <v>0</v>
      </c>
      <c r="V99" s="80">
        <v>0</v>
      </c>
      <c r="W99" t="s">
        <v>697</v>
      </c>
      <c r="X99" t="s">
        <v>76</v>
      </c>
    </row>
    <row r="100" spans="1:24" ht="12.75" customHeight="1">
      <c r="A100" s="78" t="s">
        <v>708</v>
      </c>
      <c r="B100" s="79">
        <v>2024</v>
      </c>
      <c r="C100" s="78" t="s">
        <v>3</v>
      </c>
      <c r="D100" s="78" t="s">
        <v>439</v>
      </c>
      <c r="E100" s="78" t="s">
        <v>440</v>
      </c>
      <c r="F100" s="78" t="s">
        <v>206</v>
      </c>
      <c r="G100" s="78" t="s">
        <v>207</v>
      </c>
      <c r="H100" s="78" t="s">
        <v>451</v>
      </c>
      <c r="I100" s="78" t="s">
        <v>444</v>
      </c>
      <c r="J100" s="78" t="s">
        <v>38</v>
      </c>
      <c r="K100" s="78" t="s">
        <v>85</v>
      </c>
      <c r="L100" s="78" t="s">
        <v>422</v>
      </c>
      <c r="M100" s="78" t="s">
        <v>40</v>
      </c>
      <c r="N100" s="80">
        <v>109666138</v>
      </c>
      <c r="O100" s="80">
        <v>0</v>
      </c>
      <c r="P100" s="80">
        <v>109666138</v>
      </c>
      <c r="Q100" s="80"/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t="s">
        <v>697</v>
      </c>
      <c r="X100" t="s">
        <v>76</v>
      </c>
    </row>
    <row r="101" spans="1:24" ht="12.75" customHeight="1">
      <c r="A101" s="78" t="s">
        <v>708</v>
      </c>
      <c r="B101" s="79">
        <v>2024</v>
      </c>
      <c r="C101" s="78" t="s">
        <v>3</v>
      </c>
      <c r="D101" s="78" t="s">
        <v>439</v>
      </c>
      <c r="E101" s="78" t="s">
        <v>440</v>
      </c>
      <c r="F101" s="78" t="s">
        <v>206</v>
      </c>
      <c r="G101" s="78" t="s">
        <v>207</v>
      </c>
      <c r="H101" s="78" t="s">
        <v>452</v>
      </c>
      <c r="I101" s="78" t="s">
        <v>446</v>
      </c>
      <c r="J101" s="78" t="s">
        <v>38</v>
      </c>
      <c r="K101" s="78" t="s">
        <v>85</v>
      </c>
      <c r="L101" s="78" t="s">
        <v>422</v>
      </c>
      <c r="M101" s="78" t="s">
        <v>40</v>
      </c>
      <c r="N101" s="80">
        <v>661325830</v>
      </c>
      <c r="O101" s="80">
        <v>661325830</v>
      </c>
      <c r="P101" s="80">
        <v>0</v>
      </c>
      <c r="Q101" s="80">
        <v>661325830</v>
      </c>
      <c r="R101" s="80">
        <v>96190712</v>
      </c>
      <c r="S101" s="80">
        <v>84981712</v>
      </c>
      <c r="T101" s="80">
        <v>84981712</v>
      </c>
      <c r="U101" s="80">
        <v>0</v>
      </c>
      <c r="V101" s="80">
        <v>0</v>
      </c>
      <c r="W101" t="s">
        <v>697</v>
      </c>
      <c r="X101" t="s">
        <v>76</v>
      </c>
    </row>
    <row r="102" spans="1:24" ht="12.75" customHeight="1">
      <c r="A102" s="78" t="s">
        <v>708</v>
      </c>
      <c r="B102" s="79">
        <v>2024</v>
      </c>
      <c r="C102" s="78" t="s">
        <v>3</v>
      </c>
      <c r="D102" s="78" t="s">
        <v>439</v>
      </c>
      <c r="E102" s="78" t="s">
        <v>440</v>
      </c>
      <c r="F102" s="78" t="s">
        <v>206</v>
      </c>
      <c r="G102" s="78" t="s">
        <v>207</v>
      </c>
      <c r="H102" s="78" t="s">
        <v>453</v>
      </c>
      <c r="I102" s="78" t="s">
        <v>454</v>
      </c>
      <c r="J102" s="78" t="s">
        <v>38</v>
      </c>
      <c r="K102" s="78" t="s">
        <v>85</v>
      </c>
      <c r="L102" s="78" t="s">
        <v>422</v>
      </c>
      <c r="M102" s="78" t="s">
        <v>40</v>
      </c>
      <c r="N102" s="80">
        <v>1062839326</v>
      </c>
      <c r="O102" s="80">
        <v>416589326</v>
      </c>
      <c r="P102" s="80">
        <v>646250000</v>
      </c>
      <c r="Q102" s="80">
        <v>370721661</v>
      </c>
      <c r="R102" s="80">
        <v>52405671</v>
      </c>
      <c r="S102" s="80">
        <v>35605671</v>
      </c>
      <c r="T102" s="80">
        <v>34928671</v>
      </c>
      <c r="U102" s="80">
        <v>0</v>
      </c>
      <c r="V102" s="80">
        <v>0</v>
      </c>
      <c r="W102" t="s">
        <v>697</v>
      </c>
      <c r="X102" t="s">
        <v>76</v>
      </c>
    </row>
    <row r="103" spans="1:24" ht="12.75" customHeight="1">
      <c r="A103" s="78" t="s">
        <v>708</v>
      </c>
      <c r="B103" s="79">
        <v>2024</v>
      </c>
      <c r="C103" s="78" t="s">
        <v>3</v>
      </c>
      <c r="D103" s="78" t="s">
        <v>439</v>
      </c>
      <c r="E103" s="78" t="s">
        <v>440</v>
      </c>
      <c r="F103" s="78" t="s">
        <v>206</v>
      </c>
      <c r="G103" s="78" t="s">
        <v>207</v>
      </c>
      <c r="H103" s="78" t="s">
        <v>455</v>
      </c>
      <c r="I103" s="78" t="s">
        <v>448</v>
      </c>
      <c r="J103" s="78" t="s">
        <v>38</v>
      </c>
      <c r="K103" s="78" t="s">
        <v>85</v>
      </c>
      <c r="L103" s="78" t="s">
        <v>422</v>
      </c>
      <c r="M103" s="78" t="s">
        <v>40</v>
      </c>
      <c r="N103" s="80">
        <v>196077064</v>
      </c>
      <c r="O103" s="80">
        <v>192780000</v>
      </c>
      <c r="P103" s="80">
        <v>3297064</v>
      </c>
      <c r="Q103" s="80">
        <v>190620000</v>
      </c>
      <c r="R103" s="80">
        <v>28620000</v>
      </c>
      <c r="S103" s="80">
        <v>28620000</v>
      </c>
      <c r="T103" s="80">
        <v>28620000</v>
      </c>
      <c r="U103" s="80">
        <v>0</v>
      </c>
      <c r="V103" s="80">
        <v>0</v>
      </c>
      <c r="W103" t="s">
        <v>697</v>
      </c>
      <c r="X103" t="s">
        <v>76</v>
      </c>
    </row>
    <row r="104" spans="1:24" ht="12.75" customHeight="1">
      <c r="A104" s="78" t="s">
        <v>708</v>
      </c>
      <c r="B104" s="79">
        <v>2024</v>
      </c>
      <c r="C104" s="78" t="s">
        <v>3</v>
      </c>
      <c r="D104" s="78" t="s">
        <v>439</v>
      </c>
      <c r="E104" s="78" t="s">
        <v>440</v>
      </c>
      <c r="F104" s="78" t="s">
        <v>274</v>
      </c>
      <c r="G104" s="78" t="s">
        <v>275</v>
      </c>
      <c r="H104" s="78" t="s">
        <v>455</v>
      </c>
      <c r="I104" s="78" t="s">
        <v>448</v>
      </c>
      <c r="J104" s="78" t="s">
        <v>38</v>
      </c>
      <c r="K104" s="78" t="s">
        <v>85</v>
      </c>
      <c r="L104" s="78" t="s">
        <v>422</v>
      </c>
      <c r="M104" s="78" t="s">
        <v>40</v>
      </c>
      <c r="N104" s="80">
        <v>290966118</v>
      </c>
      <c r="O104" s="80">
        <v>290966118</v>
      </c>
      <c r="P104" s="80">
        <v>0</v>
      </c>
      <c r="Q104" s="80">
        <v>290966118</v>
      </c>
      <c r="R104" s="80">
        <v>43686118</v>
      </c>
      <c r="S104" s="80">
        <v>43686118</v>
      </c>
      <c r="T104" s="80">
        <v>43686118</v>
      </c>
      <c r="U104" s="80">
        <v>0</v>
      </c>
      <c r="V104" s="80">
        <v>0</v>
      </c>
      <c r="W104" t="s">
        <v>697</v>
      </c>
      <c r="X104" t="s">
        <v>76</v>
      </c>
    </row>
    <row r="105" spans="1:24" ht="12.75" customHeight="1">
      <c r="A105" s="78" t="s">
        <v>708</v>
      </c>
      <c r="B105" s="79">
        <v>2024</v>
      </c>
      <c r="C105" s="78" t="s">
        <v>3</v>
      </c>
      <c r="D105" s="78" t="s">
        <v>439</v>
      </c>
      <c r="E105" s="78" t="s">
        <v>440</v>
      </c>
      <c r="F105" s="78" t="s">
        <v>358</v>
      </c>
      <c r="G105" s="78" t="s">
        <v>359</v>
      </c>
      <c r="H105" s="78" t="s">
        <v>455</v>
      </c>
      <c r="I105" s="78" t="s">
        <v>448</v>
      </c>
      <c r="J105" s="78" t="s">
        <v>38</v>
      </c>
      <c r="K105" s="78" t="s">
        <v>85</v>
      </c>
      <c r="L105" s="78" t="s">
        <v>422</v>
      </c>
      <c r="M105" s="78" t="s">
        <v>40</v>
      </c>
      <c r="N105" s="80">
        <v>142800000</v>
      </c>
      <c r="O105" s="80">
        <v>0</v>
      </c>
      <c r="P105" s="80">
        <v>142800000</v>
      </c>
      <c r="Q105" s="80"/>
      <c r="R105" s="80">
        <v>0</v>
      </c>
      <c r="S105" s="80">
        <v>0</v>
      </c>
      <c r="T105" s="80">
        <v>0</v>
      </c>
      <c r="U105" s="80">
        <v>0</v>
      </c>
      <c r="V105" s="80">
        <v>0</v>
      </c>
      <c r="W105" t="s">
        <v>697</v>
      </c>
      <c r="X105" t="s">
        <v>76</v>
      </c>
    </row>
    <row r="106" spans="1:24" ht="12.75" customHeight="1">
      <c r="A106" s="78" t="s">
        <v>708</v>
      </c>
      <c r="B106" s="79">
        <v>2024</v>
      </c>
      <c r="C106" s="78" t="s">
        <v>3</v>
      </c>
      <c r="D106" s="78" t="s">
        <v>456</v>
      </c>
      <c r="E106" s="78" t="s">
        <v>457</v>
      </c>
      <c r="F106" s="78" t="s">
        <v>196</v>
      </c>
      <c r="G106" s="78" t="s">
        <v>197</v>
      </c>
      <c r="H106" s="78" t="s">
        <v>458</v>
      </c>
      <c r="I106" s="78" t="s">
        <v>459</v>
      </c>
      <c r="J106" s="78" t="s">
        <v>38</v>
      </c>
      <c r="K106" s="78" t="s">
        <v>85</v>
      </c>
      <c r="L106" s="78" t="s">
        <v>422</v>
      </c>
      <c r="M106" s="78" t="s">
        <v>40</v>
      </c>
      <c r="N106" s="80">
        <v>1870376600</v>
      </c>
      <c r="O106" s="80">
        <v>461815200</v>
      </c>
      <c r="P106" s="80">
        <v>1408561400</v>
      </c>
      <c r="Q106" s="80">
        <v>461815200</v>
      </c>
      <c r="R106" s="80">
        <v>0</v>
      </c>
      <c r="S106" s="80">
        <v>0</v>
      </c>
      <c r="T106" s="80">
        <v>0</v>
      </c>
      <c r="U106" s="80">
        <v>0</v>
      </c>
      <c r="V106" s="80">
        <v>0</v>
      </c>
      <c r="W106" t="s">
        <v>698</v>
      </c>
      <c r="X106" t="s">
        <v>76</v>
      </c>
    </row>
    <row r="107" spans="1:24" ht="12.75" customHeight="1">
      <c r="A107" s="78" t="s">
        <v>708</v>
      </c>
      <c r="B107" s="79">
        <v>2024</v>
      </c>
      <c r="C107" s="78" t="s">
        <v>3</v>
      </c>
      <c r="D107" s="78" t="s">
        <v>456</v>
      </c>
      <c r="E107" s="78" t="s">
        <v>457</v>
      </c>
      <c r="F107" s="78" t="s">
        <v>196</v>
      </c>
      <c r="G107" s="78" t="s">
        <v>197</v>
      </c>
      <c r="H107" s="78" t="s">
        <v>460</v>
      </c>
      <c r="I107" s="78" t="s">
        <v>461</v>
      </c>
      <c r="J107" s="78" t="s">
        <v>38</v>
      </c>
      <c r="K107" s="78" t="s">
        <v>85</v>
      </c>
      <c r="L107" s="78" t="s">
        <v>422</v>
      </c>
      <c r="M107" s="78" t="s">
        <v>40</v>
      </c>
      <c r="N107" s="80">
        <v>770860213</v>
      </c>
      <c r="O107" s="80">
        <v>770860213</v>
      </c>
      <c r="P107" s="80">
        <v>0</v>
      </c>
      <c r="Q107" s="80">
        <v>762532276</v>
      </c>
      <c r="R107" s="80">
        <v>108926321</v>
      </c>
      <c r="S107" s="80">
        <v>108926321</v>
      </c>
      <c r="T107" s="80">
        <v>108926321</v>
      </c>
      <c r="U107" s="80">
        <v>0</v>
      </c>
      <c r="V107" s="80">
        <v>0</v>
      </c>
      <c r="W107" t="s">
        <v>698</v>
      </c>
      <c r="X107" t="s">
        <v>76</v>
      </c>
    </row>
    <row r="108" spans="1:24" ht="12.75" customHeight="1">
      <c r="A108" s="78" t="s">
        <v>708</v>
      </c>
      <c r="B108" s="79">
        <v>2024</v>
      </c>
      <c r="C108" s="78" t="s">
        <v>3</v>
      </c>
      <c r="D108" s="78" t="s">
        <v>456</v>
      </c>
      <c r="E108" s="78" t="s">
        <v>457</v>
      </c>
      <c r="F108" s="78" t="s">
        <v>196</v>
      </c>
      <c r="G108" s="78" t="s">
        <v>197</v>
      </c>
      <c r="H108" s="78" t="s">
        <v>462</v>
      </c>
      <c r="I108" s="78" t="s">
        <v>463</v>
      </c>
      <c r="J108" s="78" t="s">
        <v>38</v>
      </c>
      <c r="K108" s="78" t="s">
        <v>85</v>
      </c>
      <c r="L108" s="78" t="s">
        <v>422</v>
      </c>
      <c r="M108" s="78" t="s">
        <v>40</v>
      </c>
      <c r="N108" s="80">
        <v>357000000</v>
      </c>
      <c r="O108" s="80">
        <v>0</v>
      </c>
      <c r="P108" s="80">
        <v>357000000</v>
      </c>
      <c r="Q108" s="80"/>
      <c r="R108" s="80">
        <v>0</v>
      </c>
      <c r="S108" s="80">
        <v>0</v>
      </c>
      <c r="T108" s="80">
        <v>0</v>
      </c>
      <c r="U108" s="80">
        <v>0</v>
      </c>
      <c r="V108" s="80">
        <v>0</v>
      </c>
      <c r="W108" t="s">
        <v>698</v>
      </c>
      <c r="X108" t="s">
        <v>76</v>
      </c>
    </row>
    <row r="109" spans="1:24" ht="12.75" customHeight="1">
      <c r="A109" s="78" t="s">
        <v>708</v>
      </c>
      <c r="B109" s="79">
        <v>2024</v>
      </c>
      <c r="C109" s="78" t="s">
        <v>3</v>
      </c>
      <c r="D109" s="78" t="s">
        <v>456</v>
      </c>
      <c r="E109" s="78" t="s">
        <v>457</v>
      </c>
      <c r="F109" s="78" t="s">
        <v>196</v>
      </c>
      <c r="G109" s="78" t="s">
        <v>197</v>
      </c>
      <c r="H109" s="78" t="s">
        <v>464</v>
      </c>
      <c r="I109" s="78" t="s">
        <v>463</v>
      </c>
      <c r="J109" s="78" t="s">
        <v>38</v>
      </c>
      <c r="K109" s="78" t="s">
        <v>85</v>
      </c>
      <c r="L109" s="78" t="s">
        <v>422</v>
      </c>
      <c r="M109" s="78" t="s">
        <v>40</v>
      </c>
      <c r="N109" s="80">
        <v>86238788</v>
      </c>
      <c r="O109" s="80">
        <v>86238788</v>
      </c>
      <c r="P109" s="80">
        <v>0</v>
      </c>
      <c r="Q109" s="80">
        <v>86238788</v>
      </c>
      <c r="R109" s="80">
        <v>0</v>
      </c>
      <c r="S109" s="80">
        <v>0</v>
      </c>
      <c r="T109" s="80">
        <v>0</v>
      </c>
      <c r="U109" s="80">
        <v>0</v>
      </c>
      <c r="V109" s="80">
        <v>0</v>
      </c>
      <c r="W109" t="s">
        <v>698</v>
      </c>
      <c r="X109" t="s">
        <v>76</v>
      </c>
    </row>
    <row r="110" spans="1:24" ht="12.75" customHeight="1">
      <c r="A110" s="78" t="s">
        <v>708</v>
      </c>
      <c r="B110" s="79">
        <v>2024</v>
      </c>
      <c r="C110" s="78" t="s">
        <v>3</v>
      </c>
      <c r="D110" s="78" t="s">
        <v>456</v>
      </c>
      <c r="E110" s="78" t="s">
        <v>457</v>
      </c>
      <c r="F110" s="78" t="s">
        <v>196</v>
      </c>
      <c r="G110" s="78" t="s">
        <v>197</v>
      </c>
      <c r="H110" s="78" t="s">
        <v>465</v>
      </c>
      <c r="I110" s="78" t="s">
        <v>459</v>
      </c>
      <c r="J110" s="78" t="s">
        <v>38</v>
      </c>
      <c r="K110" s="78" t="s">
        <v>85</v>
      </c>
      <c r="L110" s="78" t="s">
        <v>422</v>
      </c>
      <c r="M110" s="78" t="s">
        <v>40</v>
      </c>
      <c r="N110" s="80">
        <v>374000000</v>
      </c>
      <c r="O110" s="80">
        <v>0</v>
      </c>
      <c r="P110" s="80">
        <v>374000000</v>
      </c>
      <c r="Q110" s="80"/>
      <c r="R110" s="80">
        <v>0</v>
      </c>
      <c r="S110" s="80">
        <v>0</v>
      </c>
      <c r="T110" s="80">
        <v>0</v>
      </c>
      <c r="U110" s="80">
        <v>0</v>
      </c>
      <c r="V110" s="80">
        <v>0</v>
      </c>
      <c r="W110" t="s">
        <v>698</v>
      </c>
      <c r="X110" t="s">
        <v>76</v>
      </c>
    </row>
    <row r="111" spans="1:24" ht="12.75" customHeight="1">
      <c r="A111" s="78" t="s">
        <v>708</v>
      </c>
      <c r="B111" s="79">
        <v>2024</v>
      </c>
      <c r="C111" s="78" t="s">
        <v>3</v>
      </c>
      <c r="D111" s="78" t="s">
        <v>456</v>
      </c>
      <c r="E111" s="78" t="s">
        <v>457</v>
      </c>
      <c r="F111" s="78" t="s">
        <v>196</v>
      </c>
      <c r="G111" s="78" t="s">
        <v>197</v>
      </c>
      <c r="H111" s="78" t="s">
        <v>466</v>
      </c>
      <c r="I111" s="78" t="s">
        <v>461</v>
      </c>
      <c r="J111" s="78" t="s">
        <v>38</v>
      </c>
      <c r="K111" s="78" t="s">
        <v>85</v>
      </c>
      <c r="L111" s="78" t="s">
        <v>422</v>
      </c>
      <c r="M111" s="78" t="s">
        <v>40</v>
      </c>
      <c r="N111" s="80">
        <v>700686109</v>
      </c>
      <c r="O111" s="80">
        <v>241915091</v>
      </c>
      <c r="P111" s="80">
        <v>458771018</v>
      </c>
      <c r="Q111" s="80">
        <v>238526926</v>
      </c>
      <c r="R111" s="80">
        <v>34559300</v>
      </c>
      <c r="S111" s="80">
        <v>34559300</v>
      </c>
      <c r="T111" s="80">
        <v>34559300</v>
      </c>
      <c r="U111" s="80">
        <v>0</v>
      </c>
      <c r="V111" s="80">
        <v>0</v>
      </c>
      <c r="W111" t="s">
        <v>698</v>
      </c>
      <c r="X111" t="s">
        <v>76</v>
      </c>
    </row>
    <row r="112" spans="1:24" ht="12.75" customHeight="1">
      <c r="A112" s="78" t="s">
        <v>708</v>
      </c>
      <c r="B112" s="79">
        <v>2024</v>
      </c>
      <c r="C112" s="78" t="s">
        <v>3</v>
      </c>
      <c r="D112" s="78" t="s">
        <v>456</v>
      </c>
      <c r="E112" s="78" t="s">
        <v>457</v>
      </c>
      <c r="F112" s="78" t="s">
        <v>196</v>
      </c>
      <c r="G112" s="78" t="s">
        <v>197</v>
      </c>
      <c r="H112" s="78" t="s">
        <v>467</v>
      </c>
      <c r="I112" s="78" t="s">
        <v>468</v>
      </c>
      <c r="J112" s="78" t="s">
        <v>38</v>
      </c>
      <c r="K112" s="78" t="s">
        <v>85</v>
      </c>
      <c r="L112" s="78" t="s">
        <v>422</v>
      </c>
      <c r="M112" s="78" t="s">
        <v>40</v>
      </c>
      <c r="N112" s="80">
        <v>9675009296</v>
      </c>
      <c r="O112" s="80">
        <v>6320659296</v>
      </c>
      <c r="P112" s="80">
        <v>3354350000</v>
      </c>
      <c r="Q112" s="80">
        <v>6320659296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t="s">
        <v>698</v>
      </c>
      <c r="X112" t="s">
        <v>76</v>
      </c>
    </row>
    <row r="113" spans="1:24" ht="12.75" customHeight="1">
      <c r="A113" s="78" t="s">
        <v>708</v>
      </c>
      <c r="B113" s="79">
        <v>2024</v>
      </c>
      <c r="C113" s="78" t="s">
        <v>3</v>
      </c>
      <c r="D113" s="78" t="s">
        <v>456</v>
      </c>
      <c r="E113" s="78" t="s">
        <v>457</v>
      </c>
      <c r="F113" s="78" t="s">
        <v>196</v>
      </c>
      <c r="G113" s="78" t="s">
        <v>197</v>
      </c>
      <c r="H113" s="78" t="s">
        <v>469</v>
      </c>
      <c r="I113" s="78" t="s">
        <v>461</v>
      </c>
      <c r="J113" s="78" t="s">
        <v>38</v>
      </c>
      <c r="K113" s="78" t="s">
        <v>85</v>
      </c>
      <c r="L113" s="78" t="s">
        <v>422</v>
      </c>
      <c r="M113" s="78" t="s">
        <v>40</v>
      </c>
      <c r="N113" s="80">
        <v>681532403</v>
      </c>
      <c r="O113" s="80">
        <v>577294575</v>
      </c>
      <c r="P113" s="80">
        <v>104237828</v>
      </c>
      <c r="Q113" s="80">
        <v>570830170</v>
      </c>
      <c r="R113" s="80">
        <v>72709970</v>
      </c>
      <c r="S113" s="80">
        <v>72709970</v>
      </c>
      <c r="T113" s="80">
        <v>72709970</v>
      </c>
      <c r="U113" s="80">
        <v>0</v>
      </c>
      <c r="V113" s="80">
        <v>0</v>
      </c>
      <c r="W113" t="s">
        <v>698</v>
      </c>
      <c r="X113" t="s">
        <v>76</v>
      </c>
    </row>
    <row r="114" spans="1:24" ht="12.75" customHeight="1">
      <c r="A114" s="78" t="s">
        <v>708</v>
      </c>
      <c r="B114" s="79">
        <v>2024</v>
      </c>
      <c r="C114" s="78" t="s">
        <v>3</v>
      </c>
      <c r="D114" s="78" t="s">
        <v>456</v>
      </c>
      <c r="E114" s="78" t="s">
        <v>457</v>
      </c>
      <c r="F114" s="78" t="s">
        <v>196</v>
      </c>
      <c r="G114" s="78" t="s">
        <v>197</v>
      </c>
      <c r="H114" s="78" t="s">
        <v>470</v>
      </c>
      <c r="I114" s="78" t="s">
        <v>463</v>
      </c>
      <c r="J114" s="78" t="s">
        <v>38</v>
      </c>
      <c r="K114" s="78" t="s">
        <v>85</v>
      </c>
      <c r="L114" s="78" t="s">
        <v>422</v>
      </c>
      <c r="M114" s="78" t="s">
        <v>40</v>
      </c>
      <c r="N114" s="80">
        <v>287468291</v>
      </c>
      <c r="O114" s="80">
        <v>287468291</v>
      </c>
      <c r="P114" s="80">
        <v>0</v>
      </c>
      <c r="Q114" s="80">
        <v>284247359</v>
      </c>
      <c r="R114" s="80">
        <v>42677359</v>
      </c>
      <c r="S114" s="80">
        <v>42677359</v>
      </c>
      <c r="T114" s="80">
        <v>42677359</v>
      </c>
      <c r="U114" s="80">
        <v>0</v>
      </c>
      <c r="V114" s="80">
        <v>0</v>
      </c>
      <c r="W114" t="s">
        <v>698</v>
      </c>
      <c r="X114" t="s">
        <v>76</v>
      </c>
    </row>
    <row r="115" spans="1:24" ht="12.75" customHeight="1">
      <c r="A115" s="78" t="s">
        <v>708</v>
      </c>
      <c r="B115" s="79">
        <v>2024</v>
      </c>
      <c r="C115" s="78" t="s">
        <v>3</v>
      </c>
      <c r="D115" s="78" t="s">
        <v>456</v>
      </c>
      <c r="E115" s="78" t="s">
        <v>457</v>
      </c>
      <c r="F115" s="78" t="s">
        <v>274</v>
      </c>
      <c r="G115" s="78" t="s">
        <v>275</v>
      </c>
      <c r="H115" s="78" t="s">
        <v>464</v>
      </c>
      <c r="I115" s="78" t="s">
        <v>463</v>
      </c>
      <c r="J115" s="78" t="s">
        <v>38</v>
      </c>
      <c r="K115" s="78" t="s">
        <v>85</v>
      </c>
      <c r="L115" s="78" t="s">
        <v>422</v>
      </c>
      <c r="M115" s="78" t="s">
        <v>40</v>
      </c>
      <c r="N115" s="80">
        <v>383049109</v>
      </c>
      <c r="O115" s="80">
        <v>383049109</v>
      </c>
      <c r="P115" s="80">
        <v>0</v>
      </c>
      <c r="Q115" s="80">
        <v>378087618</v>
      </c>
      <c r="R115" s="80">
        <v>55794274</v>
      </c>
      <c r="S115" s="80">
        <v>55794274</v>
      </c>
      <c r="T115" s="80">
        <v>55794274</v>
      </c>
      <c r="U115" s="80">
        <v>0</v>
      </c>
      <c r="V115" s="80">
        <v>0</v>
      </c>
      <c r="W115" t="s">
        <v>698</v>
      </c>
      <c r="X115" t="s">
        <v>76</v>
      </c>
    </row>
    <row r="116" spans="1:24" ht="12.75" customHeight="1">
      <c r="A116" s="78" t="s">
        <v>708</v>
      </c>
      <c r="B116" s="79">
        <v>2024</v>
      </c>
      <c r="C116" s="78" t="s">
        <v>3</v>
      </c>
      <c r="D116" s="78" t="s">
        <v>456</v>
      </c>
      <c r="E116" s="78" t="s">
        <v>457</v>
      </c>
      <c r="F116" s="78" t="s">
        <v>358</v>
      </c>
      <c r="G116" s="78" t="s">
        <v>359</v>
      </c>
      <c r="H116" s="78" t="s">
        <v>464</v>
      </c>
      <c r="I116" s="78" t="s">
        <v>463</v>
      </c>
      <c r="J116" s="78" t="s">
        <v>38</v>
      </c>
      <c r="K116" s="78" t="s">
        <v>85</v>
      </c>
      <c r="L116" s="78" t="s">
        <v>422</v>
      </c>
      <c r="M116" s="78" t="s">
        <v>40</v>
      </c>
      <c r="N116" s="80">
        <v>417309191</v>
      </c>
      <c r="O116" s="80">
        <v>416797500</v>
      </c>
      <c r="P116" s="80">
        <v>511691</v>
      </c>
      <c r="Q116" s="80">
        <v>234650859</v>
      </c>
      <c r="R116" s="80">
        <v>15288859</v>
      </c>
      <c r="S116" s="80">
        <v>15288859</v>
      </c>
      <c r="T116" s="80">
        <v>15288859</v>
      </c>
      <c r="U116" s="80">
        <v>0</v>
      </c>
      <c r="V116" s="80">
        <v>0</v>
      </c>
      <c r="W116" t="s">
        <v>698</v>
      </c>
      <c r="X116" t="s">
        <v>76</v>
      </c>
    </row>
    <row r="117" spans="1:24" ht="12.75" customHeight="1">
      <c r="A117" s="78"/>
      <c r="B117" s="79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80"/>
      <c r="O117" s="80"/>
      <c r="P117" s="80"/>
      <c r="Q117" s="80"/>
      <c r="R117" s="80"/>
      <c r="S117" s="80"/>
      <c r="T117" s="80"/>
      <c r="U117" s="80"/>
      <c r="V117" s="80"/>
    </row>
    <row r="118" spans="1:24" ht="12.75" customHeight="1">
      <c r="A118" s="78"/>
      <c r="B118" s="79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80"/>
      <c r="O118" s="80"/>
      <c r="P118" s="80"/>
      <c r="Q118" s="80"/>
      <c r="R118" s="80"/>
      <c r="S118" s="80"/>
      <c r="T118" s="80"/>
      <c r="U118" s="80"/>
      <c r="V118" s="80"/>
    </row>
    <row r="119" spans="1:24" ht="12.75" customHeight="1">
      <c r="A119" s="78"/>
      <c r="B119" s="79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80"/>
      <c r="O119" s="80"/>
      <c r="P119" s="80"/>
      <c r="Q119" s="80"/>
      <c r="R119" s="80"/>
      <c r="S119" s="80"/>
      <c r="T119" s="80"/>
      <c r="U119" s="80"/>
      <c r="V119" s="80"/>
    </row>
    <row r="120" spans="1:24" ht="12.75" customHeight="1">
      <c r="A120" s="78"/>
      <c r="B120" s="79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80"/>
      <c r="O120" s="80"/>
      <c r="P120" s="80"/>
      <c r="Q120" s="80"/>
      <c r="R120" s="80"/>
      <c r="S120" s="80"/>
      <c r="T120" s="80"/>
      <c r="U120" s="80"/>
      <c r="V120" s="80"/>
    </row>
    <row r="121" spans="1:24" ht="12.75" customHeight="1">
      <c r="A121" s="78"/>
      <c r="B121" s="79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80"/>
      <c r="O121" s="80"/>
      <c r="P121" s="80"/>
      <c r="Q121" s="80"/>
      <c r="R121" s="80"/>
      <c r="S121" s="80"/>
      <c r="T121" s="80"/>
      <c r="U121" s="80"/>
      <c r="V121" s="80"/>
    </row>
    <row r="122" spans="1:24" ht="12.75" customHeight="1">
      <c r="A122" s="78"/>
      <c r="B122" s="79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80"/>
      <c r="O122" s="80"/>
      <c r="P122" s="80"/>
      <c r="Q122" s="80"/>
      <c r="R122" s="80"/>
      <c r="S122" s="80"/>
      <c r="T122" s="80"/>
      <c r="U122" s="80"/>
      <c r="V122" s="80"/>
    </row>
    <row r="123" spans="1:24" ht="12.75" customHeight="1">
      <c r="A123" s="78"/>
      <c r="B123" s="79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80"/>
      <c r="O123" s="80"/>
      <c r="P123" s="80"/>
      <c r="Q123" s="80"/>
      <c r="R123" s="80"/>
      <c r="S123" s="80"/>
      <c r="T123" s="80"/>
      <c r="U123" s="80"/>
      <c r="V123" s="80"/>
    </row>
    <row r="124" spans="1:24" ht="12.75" customHeight="1">
      <c r="A124" s="78"/>
      <c r="B124" s="79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80"/>
      <c r="O124" s="80"/>
      <c r="P124" s="80"/>
      <c r="Q124" s="80"/>
      <c r="R124" s="80"/>
      <c r="S124" s="80"/>
      <c r="T124" s="80"/>
      <c r="U124" s="80"/>
      <c r="V124" s="80"/>
    </row>
    <row r="125" spans="1:24" ht="12.75" customHeight="1">
      <c r="A125" s="78"/>
      <c r="B125" s="79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80"/>
      <c r="O125" s="80"/>
      <c r="P125" s="80"/>
      <c r="Q125" s="80"/>
      <c r="R125" s="80"/>
      <c r="S125" s="80"/>
      <c r="T125" s="80"/>
      <c r="U125" s="80"/>
      <c r="V125" s="80"/>
    </row>
    <row r="126" spans="1:24" ht="12.75" customHeight="1">
      <c r="A126" s="78"/>
      <c r="B126" s="79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80"/>
      <c r="O126" s="80"/>
      <c r="P126" s="80"/>
      <c r="Q126" s="80"/>
      <c r="R126" s="80"/>
      <c r="S126" s="80"/>
      <c r="T126" s="80"/>
      <c r="U126" s="80"/>
      <c r="V126" s="80"/>
    </row>
    <row r="127" spans="1:24" ht="12.75" customHeight="1">
      <c r="A127" s="78"/>
      <c r="B127" s="79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80"/>
      <c r="O127" s="80"/>
      <c r="P127" s="80"/>
      <c r="Q127" s="80"/>
      <c r="R127" s="80"/>
      <c r="S127" s="80"/>
      <c r="T127" s="80"/>
      <c r="U127" s="80"/>
      <c r="V127" s="80"/>
    </row>
    <row r="128" spans="1:24" ht="12.75" customHeight="1">
      <c r="A128" s="78"/>
      <c r="B128" s="79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80"/>
      <c r="O128" s="80"/>
      <c r="P128" s="80"/>
      <c r="Q128" s="80"/>
      <c r="R128" s="80"/>
      <c r="S128" s="80"/>
      <c r="T128" s="80"/>
      <c r="U128" s="80"/>
      <c r="V128" s="80"/>
    </row>
    <row r="129" spans="1:25" ht="12.75" customHeight="1">
      <c r="A129" s="78"/>
      <c r="B129" s="79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80"/>
      <c r="O129" s="80"/>
      <c r="P129" s="80"/>
      <c r="Q129" s="80"/>
      <c r="R129" s="80"/>
      <c r="S129" s="80"/>
      <c r="T129" s="80"/>
      <c r="U129" s="80"/>
      <c r="V129" s="80"/>
    </row>
    <row r="130" spans="1:25" ht="12.75" customHeight="1">
      <c r="A130" s="78"/>
      <c r="B130" s="79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80"/>
      <c r="O130" s="80"/>
      <c r="P130" s="80"/>
      <c r="Q130" s="80"/>
      <c r="R130" s="80"/>
      <c r="S130" s="80"/>
      <c r="T130" s="80"/>
      <c r="U130" s="80"/>
      <c r="V130" s="80"/>
    </row>
    <row r="131" spans="1:25" ht="12.75" customHeight="1">
      <c r="A131" s="78"/>
      <c r="B131" s="79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80"/>
      <c r="O131" s="80"/>
      <c r="P131" s="80"/>
      <c r="Q131" s="80"/>
      <c r="R131" s="80"/>
      <c r="S131" s="80"/>
      <c r="T131" s="80"/>
      <c r="U131" s="80"/>
      <c r="V131" s="80"/>
    </row>
    <row r="132" spans="1:25" ht="12.75" customHeight="1">
      <c r="A132" s="78"/>
      <c r="B132" s="79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80"/>
      <c r="O132" s="80"/>
      <c r="P132" s="80"/>
      <c r="Q132" s="80"/>
      <c r="R132" s="80"/>
      <c r="S132" s="80"/>
      <c r="T132" s="80"/>
      <c r="U132" s="80"/>
      <c r="V132" s="80"/>
    </row>
    <row r="133" spans="1:25" ht="12.75" customHeight="1">
      <c r="A133" s="265"/>
      <c r="B133" s="266"/>
      <c r="C133" s="265"/>
      <c r="D133" s="265"/>
      <c r="E133" s="265"/>
      <c r="F133" s="265"/>
      <c r="G133" s="265"/>
      <c r="H133" s="265"/>
      <c r="I133" s="265"/>
      <c r="J133" s="265"/>
      <c r="K133" s="265"/>
      <c r="L133" s="265"/>
      <c r="M133" s="265"/>
      <c r="N133" s="267"/>
      <c r="O133" s="267"/>
      <c r="P133" s="267"/>
      <c r="Q133" s="267"/>
      <c r="R133" s="267"/>
      <c r="S133" s="267"/>
      <c r="T133" s="267"/>
      <c r="U133" s="267"/>
      <c r="V133" s="267"/>
    </row>
    <row r="134" spans="1:25">
      <c r="N134" s="247">
        <f>SUM(N2:N133)</f>
        <v>1044103317205</v>
      </c>
      <c r="O134" s="247">
        <f t="shared" ref="O134:X134" si="0">SUM(O2:O133)</f>
        <v>729855738852.28003</v>
      </c>
      <c r="P134" s="247">
        <f t="shared" si="0"/>
        <v>284247578352.71997</v>
      </c>
      <c r="Q134" s="247">
        <f t="shared" si="0"/>
        <v>688344008017.28003</v>
      </c>
      <c r="R134" s="247">
        <f t="shared" si="0"/>
        <v>7283907283</v>
      </c>
      <c r="S134" s="247">
        <f t="shared" si="0"/>
        <v>7017879426</v>
      </c>
      <c r="T134" s="247">
        <f t="shared" si="0"/>
        <v>6266468244</v>
      </c>
      <c r="U134" s="247">
        <f t="shared" si="0"/>
        <v>0</v>
      </c>
      <c r="V134" s="247">
        <f t="shared" si="0"/>
        <v>0</v>
      </c>
      <c r="W134" s="247">
        <f t="shared" si="0"/>
        <v>0</v>
      </c>
      <c r="X134" s="247">
        <f t="shared" si="0"/>
        <v>0</v>
      </c>
      <c r="Y134" s="247"/>
    </row>
    <row r="136" spans="1:25">
      <c r="N136" s="1">
        <f>+'Ejecución Agregado'!T39</f>
        <v>1044103317205</v>
      </c>
      <c r="O136" s="1">
        <f>+'Ejecución Agregado'!V39</f>
        <v>729855738852.28003</v>
      </c>
      <c r="P136" s="1">
        <f>+'Ejecución Agregado'!W39</f>
        <v>284247578352.71997</v>
      </c>
      <c r="Q136" s="1">
        <f>+'Ejecución Agregado'!X39</f>
        <v>688344008017.28003</v>
      </c>
      <c r="R136" s="1">
        <f>+'Ejecución Agregado'!Y39</f>
        <v>7283907283</v>
      </c>
      <c r="S136" s="1">
        <f>+'Ejecución Agregado'!Z39</f>
        <v>6678358543</v>
      </c>
      <c r="T136" s="217">
        <f>+'Ejecución Agregado'!AA39</f>
        <v>6266468244</v>
      </c>
    </row>
    <row r="137" spans="1:25">
      <c r="Q137" s="227"/>
      <c r="R137" s="227"/>
      <c r="S137" s="227"/>
      <c r="T137" s="227"/>
    </row>
    <row r="138" spans="1:25">
      <c r="N138" s="227">
        <f>+N134-N136</f>
        <v>0</v>
      </c>
      <c r="O138" s="227">
        <f t="shared" ref="O138:T138" si="1">+O134-O136</f>
        <v>0</v>
      </c>
      <c r="P138" s="227">
        <f t="shared" si="1"/>
        <v>0</v>
      </c>
      <c r="Q138" s="227">
        <f t="shared" si="1"/>
        <v>0</v>
      </c>
      <c r="R138" s="227">
        <f t="shared" si="1"/>
        <v>0</v>
      </c>
      <c r="S138" s="227">
        <f t="shared" si="1"/>
        <v>339520883</v>
      </c>
      <c r="T138" s="227">
        <f t="shared" si="1"/>
        <v>0</v>
      </c>
    </row>
    <row r="139" spans="1:25">
      <c r="N139" s="227"/>
      <c r="O139" s="227"/>
      <c r="P139" s="227"/>
      <c r="Q139" s="227"/>
      <c r="R139" s="227"/>
      <c r="S139" s="227"/>
      <c r="T139" s="227"/>
    </row>
  </sheetData>
  <autoFilter ref="A1:X130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37"/>
  <sheetViews>
    <sheetView workbookViewId="0">
      <pane ySplit="4" topLeftCell="A14" activePane="bottomLeft" state="frozen"/>
      <selection pane="bottomLeft" activeCell="J24" sqref="J24"/>
    </sheetView>
  </sheetViews>
  <sheetFormatPr baseColWidth="10" defaultColWidth="11.44140625" defaultRowHeight="14.4"/>
  <cols>
    <col min="1" max="1" width="78.44140625" customWidth="1"/>
    <col min="2" max="2" width="22.44140625" style="3" hidden="1" customWidth="1"/>
    <col min="3" max="9" width="17.88671875" style="3" hidden="1" customWidth="1"/>
    <col min="10" max="10" width="16.88671875" style="3" customWidth="1"/>
    <col min="11" max="14" width="17.88671875" style="3" customWidth="1"/>
    <col min="15" max="15" width="16.88671875" style="3" customWidth="1"/>
    <col min="16" max="16" width="17.88671875" style="3" customWidth="1"/>
    <col min="17" max="17" width="12.44140625" style="3" customWidth="1"/>
    <col min="18" max="18" width="20.44140625" style="3" bestFit="1" customWidth="1"/>
    <col min="19" max="19" width="17.88671875" style="217" bestFit="1" customWidth="1"/>
    <col min="20" max="20" width="13.33203125" style="1" bestFit="1" customWidth="1"/>
    <col min="21" max="21" width="13.33203125" bestFit="1" customWidth="1"/>
    <col min="22" max="22" width="20.44140625" bestFit="1" customWidth="1"/>
    <col min="23" max="23" width="20.44140625" customWidth="1"/>
    <col min="24" max="24" width="21.5546875" customWidth="1"/>
    <col min="25" max="25" width="20.44140625" customWidth="1"/>
    <col min="26" max="26" width="21.5546875" bestFit="1" customWidth="1"/>
    <col min="27" max="27" width="20.44140625" customWidth="1"/>
    <col min="28" max="28" width="21.5546875" customWidth="1"/>
    <col min="29" max="29" width="20.44140625" customWidth="1"/>
    <col min="30" max="30" width="21.5546875" customWidth="1"/>
    <col min="31" max="31" width="20.44140625" customWidth="1"/>
    <col min="32" max="32" width="21.5546875" bestFit="1" customWidth="1"/>
    <col min="33" max="33" width="20.44140625" customWidth="1"/>
    <col min="34" max="34" width="21.5546875" customWidth="1"/>
    <col min="35" max="35" width="20.44140625" customWidth="1"/>
    <col min="36" max="36" width="21.5546875" customWidth="1"/>
    <col min="37" max="37" width="20.44140625" customWidth="1"/>
    <col min="38" max="38" width="26.5546875" customWidth="1"/>
    <col min="39" max="39" width="25.44140625" customWidth="1"/>
    <col min="40" max="40" width="20.44140625" bestFit="1" customWidth="1"/>
    <col min="41" max="41" width="21.5546875" bestFit="1" customWidth="1"/>
    <col min="42" max="42" width="23.6640625" bestFit="1" customWidth="1"/>
    <col min="43" max="43" width="20.44140625" bestFit="1" customWidth="1"/>
    <col min="44" max="44" width="21.5546875" bestFit="1" customWidth="1"/>
    <col min="45" max="45" width="23.6640625" bestFit="1" customWidth="1"/>
    <col min="46" max="46" width="20.44140625" bestFit="1" customWidth="1"/>
    <col min="47" max="47" width="21.5546875" bestFit="1" customWidth="1"/>
    <col min="48" max="48" width="23.6640625" bestFit="1" customWidth="1"/>
    <col min="49" max="49" width="20.44140625" bestFit="1" customWidth="1"/>
    <col min="50" max="50" width="21.5546875" bestFit="1" customWidth="1"/>
    <col min="51" max="51" width="23.6640625" bestFit="1" customWidth="1"/>
    <col min="52" max="52" width="20.44140625" bestFit="1" customWidth="1"/>
    <col min="53" max="53" width="21.5546875" bestFit="1" customWidth="1"/>
    <col min="54" max="54" width="23.6640625" bestFit="1" customWidth="1"/>
    <col min="55" max="55" width="20.44140625" bestFit="1" customWidth="1"/>
    <col min="56" max="56" width="26.5546875" bestFit="1" customWidth="1"/>
    <col min="57" max="57" width="28.6640625" bestFit="1" customWidth="1"/>
    <col min="58" max="58" width="25.44140625" bestFit="1" customWidth="1"/>
  </cols>
  <sheetData>
    <row r="3" spans="1:20">
      <c r="A3" s="6" t="s">
        <v>699</v>
      </c>
      <c r="B3" s="6" t="s">
        <v>700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>
      <c r="A4" s="6" t="s">
        <v>701</v>
      </c>
      <c r="B4" s="292" t="s">
        <v>686</v>
      </c>
      <c r="C4" s="292" t="s">
        <v>685</v>
      </c>
      <c r="D4" s="292" t="s">
        <v>696</v>
      </c>
      <c r="E4" s="292" t="s">
        <v>697</v>
      </c>
      <c r="F4" s="292" t="s">
        <v>698</v>
      </c>
      <c r="G4" s="292" t="s">
        <v>684</v>
      </c>
      <c r="H4" s="292" t="s">
        <v>690</v>
      </c>
      <c r="I4" s="292" t="s">
        <v>693</v>
      </c>
      <c r="J4" s="292" t="s">
        <v>687</v>
      </c>
      <c r="K4" s="292" t="s">
        <v>695</v>
      </c>
      <c r="L4" s="292" t="s">
        <v>692</v>
      </c>
      <c r="M4" s="292" t="s">
        <v>689</v>
      </c>
      <c r="N4" s="292" t="s">
        <v>688</v>
      </c>
      <c r="O4" s="292" t="s">
        <v>691</v>
      </c>
      <c r="P4" s="292" t="s">
        <v>694</v>
      </c>
      <c r="Q4" s="292" t="s">
        <v>702</v>
      </c>
      <c r="R4" s="292" t="s">
        <v>703</v>
      </c>
      <c r="S4"/>
      <c r="T4"/>
    </row>
    <row r="5" spans="1:20">
      <c r="A5" s="7" t="s">
        <v>203</v>
      </c>
      <c r="B5" s="292"/>
      <c r="C5" s="292"/>
      <c r="D5" s="292"/>
      <c r="E5" s="292"/>
      <c r="F5" s="292"/>
      <c r="G5" s="292"/>
      <c r="H5" s="292">
        <v>4717334658</v>
      </c>
      <c r="I5" s="292"/>
      <c r="J5" s="292"/>
      <c r="K5" s="292"/>
      <c r="L5" s="292"/>
      <c r="M5" s="292"/>
      <c r="N5" s="292"/>
      <c r="O5" s="292"/>
      <c r="P5" s="292"/>
      <c r="Q5" s="292"/>
      <c r="R5" s="292">
        <v>4717334658</v>
      </c>
      <c r="S5"/>
      <c r="T5"/>
    </row>
    <row r="6" spans="1:20">
      <c r="A6" s="7" t="s">
        <v>223</v>
      </c>
      <c r="B6" s="292"/>
      <c r="C6" s="292"/>
      <c r="D6" s="292"/>
      <c r="E6" s="292"/>
      <c r="F6" s="292"/>
      <c r="G6" s="292"/>
      <c r="H6" s="292">
        <v>2194000000</v>
      </c>
      <c r="I6" s="292"/>
      <c r="J6" s="292"/>
      <c r="K6" s="292"/>
      <c r="L6" s="292"/>
      <c r="M6" s="292"/>
      <c r="N6" s="292"/>
      <c r="O6" s="292"/>
      <c r="P6" s="292"/>
      <c r="Q6" s="292"/>
      <c r="R6" s="292">
        <v>2194000000</v>
      </c>
      <c r="S6"/>
      <c r="T6"/>
    </row>
    <row r="7" spans="1:20">
      <c r="A7" s="7" t="s">
        <v>209</v>
      </c>
      <c r="B7" s="292"/>
      <c r="C7" s="292"/>
      <c r="D7" s="292"/>
      <c r="E7" s="292"/>
      <c r="F7" s="292"/>
      <c r="G7" s="292"/>
      <c r="H7" s="292"/>
      <c r="I7" s="292"/>
      <c r="J7" s="292">
        <v>223619000</v>
      </c>
      <c r="K7" s="292"/>
      <c r="L7" s="292"/>
      <c r="M7" s="292"/>
      <c r="N7" s="292"/>
      <c r="O7" s="292">
        <v>7040000000</v>
      </c>
      <c r="P7" s="292"/>
      <c r="Q7" s="292"/>
      <c r="R7" s="292">
        <v>7263619000</v>
      </c>
      <c r="S7"/>
      <c r="T7"/>
    </row>
    <row r="8" spans="1:20">
      <c r="A8" s="7" t="s">
        <v>231</v>
      </c>
      <c r="B8" s="292"/>
      <c r="C8" s="292"/>
      <c r="D8" s="292"/>
      <c r="E8" s="292"/>
      <c r="F8" s="292"/>
      <c r="G8" s="292"/>
      <c r="H8" s="292">
        <v>4729558667</v>
      </c>
      <c r="I8" s="292"/>
      <c r="J8" s="292"/>
      <c r="K8" s="292"/>
      <c r="L8" s="292"/>
      <c r="M8" s="292"/>
      <c r="N8" s="292"/>
      <c r="O8" s="292"/>
      <c r="P8" s="292"/>
      <c r="Q8" s="292"/>
      <c r="R8" s="292">
        <v>4729558667</v>
      </c>
      <c r="S8"/>
      <c r="T8"/>
    </row>
    <row r="9" spans="1:20">
      <c r="A9" s="7" t="s">
        <v>367</v>
      </c>
      <c r="B9" s="292"/>
      <c r="C9" s="292">
        <v>1267014897</v>
      </c>
      <c r="D9" s="292"/>
      <c r="E9" s="292"/>
      <c r="F9" s="292"/>
      <c r="G9" s="292"/>
      <c r="H9" s="292"/>
      <c r="I9" s="292">
        <v>3067549000</v>
      </c>
      <c r="J9" s="292"/>
      <c r="K9" s="292"/>
      <c r="L9" s="292"/>
      <c r="M9" s="292"/>
      <c r="N9" s="292"/>
      <c r="O9" s="292"/>
      <c r="P9" s="292"/>
      <c r="Q9" s="292"/>
      <c r="R9" s="292">
        <v>4334563897</v>
      </c>
      <c r="S9"/>
      <c r="T9"/>
    </row>
    <row r="10" spans="1:20">
      <c r="A10" s="7" t="s">
        <v>233</v>
      </c>
      <c r="B10" s="292"/>
      <c r="C10" s="292"/>
      <c r="D10" s="292"/>
      <c r="E10" s="292"/>
      <c r="F10" s="292"/>
      <c r="G10" s="292"/>
      <c r="H10" s="292">
        <v>4344855612</v>
      </c>
      <c r="I10" s="292"/>
      <c r="J10" s="292"/>
      <c r="K10" s="292"/>
      <c r="L10" s="292"/>
      <c r="M10" s="292"/>
      <c r="N10" s="292"/>
      <c r="O10" s="292"/>
      <c r="P10" s="292"/>
      <c r="Q10" s="292"/>
      <c r="R10" s="292">
        <v>4344855612</v>
      </c>
      <c r="S10"/>
      <c r="T10"/>
    </row>
    <row r="11" spans="1:20">
      <c r="A11" s="7" t="s">
        <v>377</v>
      </c>
      <c r="B11" s="292"/>
      <c r="C11" s="292">
        <v>4265538332</v>
      </c>
      <c r="D11" s="292"/>
      <c r="E11" s="292"/>
      <c r="F11" s="292"/>
      <c r="G11" s="292"/>
      <c r="H11" s="292"/>
      <c r="I11" s="292">
        <v>8945576000</v>
      </c>
      <c r="J11" s="292"/>
      <c r="K11" s="292"/>
      <c r="L11" s="292"/>
      <c r="M11" s="292"/>
      <c r="N11" s="292"/>
      <c r="O11" s="292"/>
      <c r="P11" s="292"/>
      <c r="Q11" s="292"/>
      <c r="R11" s="292">
        <v>13211114332</v>
      </c>
      <c r="S11"/>
      <c r="T11"/>
    </row>
    <row r="12" spans="1:20">
      <c r="A12" s="7" t="s">
        <v>225</v>
      </c>
      <c r="B12" s="292"/>
      <c r="C12" s="292"/>
      <c r="D12" s="292"/>
      <c r="E12" s="292"/>
      <c r="F12" s="292"/>
      <c r="G12" s="292"/>
      <c r="H12" s="292">
        <v>16725251120</v>
      </c>
      <c r="I12" s="292"/>
      <c r="J12" s="292"/>
      <c r="K12" s="292"/>
      <c r="L12" s="292"/>
      <c r="M12" s="292"/>
      <c r="N12" s="292"/>
      <c r="O12" s="292"/>
      <c r="P12" s="292"/>
      <c r="Q12" s="292"/>
      <c r="R12" s="292">
        <v>16725251120</v>
      </c>
      <c r="S12"/>
      <c r="T12"/>
    </row>
    <row r="13" spans="1:20">
      <c r="A13" s="7" t="s">
        <v>207</v>
      </c>
      <c r="B13" s="292"/>
      <c r="C13" s="292"/>
      <c r="D13" s="292"/>
      <c r="E13" s="292">
        <v>15232405387</v>
      </c>
      <c r="F13" s="292"/>
      <c r="G13" s="292"/>
      <c r="H13" s="292">
        <v>7282857801</v>
      </c>
      <c r="I13" s="292"/>
      <c r="J13" s="292"/>
      <c r="K13" s="292"/>
      <c r="L13" s="292"/>
      <c r="M13" s="292"/>
      <c r="N13" s="292"/>
      <c r="O13" s="292"/>
      <c r="P13" s="292"/>
      <c r="Q13" s="292"/>
      <c r="R13" s="292">
        <v>22515263188</v>
      </c>
      <c r="S13"/>
      <c r="T13"/>
    </row>
    <row r="14" spans="1:20">
      <c r="A14" s="7" t="s">
        <v>229</v>
      </c>
      <c r="B14" s="292"/>
      <c r="C14" s="292"/>
      <c r="D14" s="292"/>
      <c r="E14" s="292"/>
      <c r="F14" s="292"/>
      <c r="G14" s="292"/>
      <c r="H14" s="292">
        <v>4201520000</v>
      </c>
      <c r="I14" s="292"/>
      <c r="J14" s="292"/>
      <c r="K14" s="292"/>
      <c r="L14" s="292"/>
      <c r="M14" s="292"/>
      <c r="N14" s="292"/>
      <c r="O14" s="292"/>
      <c r="P14" s="292"/>
      <c r="Q14" s="292"/>
      <c r="R14" s="292">
        <v>4201520000</v>
      </c>
      <c r="S14"/>
      <c r="T14"/>
    </row>
    <row r="15" spans="1:20">
      <c r="A15" s="7" t="s">
        <v>227</v>
      </c>
      <c r="B15" s="292"/>
      <c r="C15" s="292"/>
      <c r="D15" s="292"/>
      <c r="E15" s="292"/>
      <c r="F15" s="292"/>
      <c r="G15" s="292"/>
      <c r="H15" s="292">
        <v>3412208646</v>
      </c>
      <c r="I15" s="292"/>
      <c r="J15" s="292">
        <v>200000000</v>
      </c>
      <c r="K15" s="292"/>
      <c r="L15" s="292"/>
      <c r="M15" s="292"/>
      <c r="N15" s="292"/>
      <c r="O15" s="292"/>
      <c r="P15" s="292"/>
      <c r="Q15" s="292"/>
      <c r="R15" s="292">
        <v>3612208646</v>
      </c>
      <c r="S15"/>
      <c r="T15"/>
    </row>
    <row r="16" spans="1:20">
      <c r="A16" s="7" t="s">
        <v>375</v>
      </c>
      <c r="B16" s="292"/>
      <c r="C16" s="292">
        <v>495655771</v>
      </c>
      <c r="D16" s="292">
        <v>19452505000</v>
      </c>
      <c r="E16" s="292"/>
      <c r="F16" s="292"/>
      <c r="G16" s="292"/>
      <c r="H16" s="292"/>
      <c r="I16" s="292">
        <v>5460984918</v>
      </c>
      <c r="J16" s="292"/>
      <c r="K16" s="292"/>
      <c r="L16" s="292"/>
      <c r="M16" s="292"/>
      <c r="N16" s="292"/>
      <c r="O16" s="292"/>
      <c r="P16" s="292"/>
      <c r="Q16" s="292"/>
      <c r="R16" s="292">
        <v>25409145689</v>
      </c>
      <c r="S16"/>
      <c r="T16"/>
    </row>
    <row r="17" spans="1:18" customFormat="1">
      <c r="A17" s="7" t="s">
        <v>395</v>
      </c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>
        <v>4418004010</v>
      </c>
      <c r="Q17" s="292"/>
      <c r="R17" s="292">
        <v>4418004010</v>
      </c>
    </row>
    <row r="18" spans="1:18" customFormat="1">
      <c r="A18" s="7" t="s">
        <v>391</v>
      </c>
      <c r="B18" s="292"/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>
        <v>9416554421</v>
      </c>
      <c r="Q18" s="292"/>
      <c r="R18" s="292">
        <v>9416554421</v>
      </c>
    </row>
    <row r="19" spans="1:18" customFormat="1">
      <c r="A19" s="7" t="s">
        <v>401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>
        <v>21000000000</v>
      </c>
      <c r="L19" s="292"/>
      <c r="M19" s="292"/>
      <c r="N19" s="292"/>
      <c r="O19" s="292"/>
      <c r="P19" s="292"/>
      <c r="Q19" s="292"/>
      <c r="R19" s="292">
        <v>21000000000</v>
      </c>
    </row>
    <row r="20" spans="1:18" customFormat="1">
      <c r="A20" s="7" t="s">
        <v>156</v>
      </c>
      <c r="B20" s="292"/>
      <c r="C20" s="292"/>
      <c r="D20" s="292"/>
      <c r="E20" s="292"/>
      <c r="F20" s="292"/>
      <c r="G20" s="292"/>
      <c r="H20" s="292"/>
      <c r="I20" s="292"/>
      <c r="J20" s="292">
        <v>200000000</v>
      </c>
      <c r="K20" s="292"/>
      <c r="L20" s="292"/>
      <c r="M20" s="292"/>
      <c r="N20" s="292"/>
      <c r="O20" s="292"/>
      <c r="P20" s="292"/>
      <c r="Q20" s="292"/>
      <c r="R20" s="292">
        <v>200000000</v>
      </c>
    </row>
    <row r="21" spans="1:18" customFormat="1">
      <c r="A21" s="7" t="s">
        <v>151</v>
      </c>
      <c r="B21" s="292">
        <v>4100000000</v>
      </c>
      <c r="C21" s="292">
        <v>8000000000</v>
      </c>
      <c r="D21" s="292"/>
      <c r="E21" s="292"/>
      <c r="F21" s="292"/>
      <c r="G21" s="292">
        <v>30000000000</v>
      </c>
      <c r="H21" s="292"/>
      <c r="I21" s="292"/>
      <c r="J21" s="292"/>
      <c r="K21" s="292"/>
      <c r="L21" s="292"/>
      <c r="M21" s="292"/>
      <c r="N21" s="292"/>
      <c r="O21" s="292"/>
      <c r="P21" s="292"/>
      <c r="Q21" s="292"/>
      <c r="R21" s="292">
        <v>42100000000</v>
      </c>
    </row>
    <row r="22" spans="1:18" customFormat="1">
      <c r="A22" s="7" t="s">
        <v>189</v>
      </c>
      <c r="B22" s="292"/>
      <c r="C22" s="292"/>
      <c r="D22" s="292"/>
      <c r="E22" s="292"/>
      <c r="F22" s="292"/>
      <c r="G22" s="292"/>
      <c r="H22" s="292"/>
      <c r="I22" s="292"/>
      <c r="J22" s="292">
        <v>3724381000</v>
      </c>
      <c r="K22" s="292"/>
      <c r="L22" s="292"/>
      <c r="M22" s="292"/>
      <c r="N22" s="292"/>
      <c r="O22" s="292"/>
      <c r="P22" s="292"/>
      <c r="Q22" s="292"/>
      <c r="R22" s="292">
        <v>3724381000</v>
      </c>
    </row>
    <row r="23" spans="1:18" customFormat="1">
      <c r="A23" s="7" t="s">
        <v>179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>
        <v>1096859325</v>
      </c>
      <c r="O23" s="292"/>
      <c r="P23" s="292"/>
      <c r="Q23" s="292"/>
      <c r="R23" s="292">
        <v>1096859325</v>
      </c>
    </row>
    <row r="24" spans="1:18" customFormat="1">
      <c r="A24" s="7" t="s">
        <v>195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>
        <v>2454131000</v>
      </c>
      <c r="O24" s="292"/>
      <c r="P24" s="292"/>
      <c r="Q24" s="292"/>
      <c r="R24" s="292">
        <v>2454131000</v>
      </c>
    </row>
    <row r="25" spans="1:18" customFormat="1">
      <c r="A25" s="7" t="s">
        <v>167</v>
      </c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>
        <v>494748000</v>
      </c>
      <c r="O25" s="292"/>
      <c r="P25" s="292"/>
      <c r="Q25" s="292"/>
      <c r="R25" s="292">
        <v>494748000</v>
      </c>
    </row>
    <row r="26" spans="1:18" customFormat="1">
      <c r="A26" s="7" t="s">
        <v>185</v>
      </c>
      <c r="B26" s="292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>
        <v>504576000</v>
      </c>
      <c r="O26" s="292"/>
      <c r="P26" s="292"/>
      <c r="Q26" s="292"/>
      <c r="R26" s="292">
        <v>504576000</v>
      </c>
    </row>
    <row r="27" spans="1:18" customFormat="1">
      <c r="A27" s="7" t="s">
        <v>171</v>
      </c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>
        <v>53000000000</v>
      </c>
      <c r="N27" s="292"/>
      <c r="O27" s="292"/>
      <c r="P27" s="292"/>
      <c r="Q27" s="292"/>
      <c r="R27" s="292">
        <v>53000000000</v>
      </c>
    </row>
    <row r="28" spans="1:18" customFormat="1">
      <c r="A28" s="7" t="s">
        <v>235</v>
      </c>
      <c r="B28" s="292"/>
      <c r="C28" s="292"/>
      <c r="D28" s="292">
        <v>123900000</v>
      </c>
      <c r="E28" s="292"/>
      <c r="F28" s="292"/>
      <c r="G28" s="292"/>
      <c r="H28" s="292"/>
      <c r="I28" s="292"/>
      <c r="J28" s="292"/>
      <c r="K28" s="292"/>
      <c r="L28" s="292"/>
      <c r="M28" s="292"/>
      <c r="N28" s="292">
        <v>2302633475</v>
      </c>
      <c r="O28" s="292"/>
      <c r="P28" s="292"/>
      <c r="Q28" s="292"/>
      <c r="R28" s="292">
        <v>2426533475</v>
      </c>
    </row>
    <row r="29" spans="1:18" customFormat="1">
      <c r="A29" s="7" t="s">
        <v>237</v>
      </c>
      <c r="B29" s="292"/>
      <c r="C29" s="247"/>
      <c r="D29" s="292"/>
      <c r="E29" s="292"/>
      <c r="F29" s="292"/>
      <c r="G29" s="292"/>
      <c r="H29" s="292"/>
      <c r="I29" s="292"/>
      <c r="J29" s="292"/>
      <c r="K29" s="292"/>
      <c r="L29" s="292">
        <v>13511000000</v>
      </c>
      <c r="M29" s="292"/>
      <c r="N29" s="292">
        <v>1792310000</v>
      </c>
      <c r="O29" s="292"/>
      <c r="P29" s="292"/>
      <c r="Q29" s="292"/>
      <c r="R29" s="292">
        <v>15303310000</v>
      </c>
    </row>
    <row r="30" spans="1:18" customFormat="1">
      <c r="A30" s="7" t="s">
        <v>359</v>
      </c>
      <c r="B30" s="292"/>
      <c r="C30" s="292"/>
      <c r="D30" s="292">
        <v>475600000</v>
      </c>
      <c r="E30" s="292">
        <v>142800000</v>
      </c>
      <c r="F30" s="292">
        <v>417309191</v>
      </c>
      <c r="G30" s="292"/>
      <c r="H30" s="292"/>
      <c r="I30" s="292"/>
      <c r="J30" s="292"/>
      <c r="K30" s="292"/>
      <c r="L30" s="292"/>
      <c r="M30" s="292"/>
      <c r="N30" s="292">
        <v>559347200</v>
      </c>
      <c r="O30" s="292"/>
      <c r="P30" s="292"/>
      <c r="Q30" s="292"/>
      <c r="R30" s="292">
        <v>1595056391</v>
      </c>
    </row>
    <row r="31" spans="1:18" customFormat="1">
      <c r="A31" s="7" t="s">
        <v>283</v>
      </c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>
        <v>1495395000</v>
      </c>
      <c r="O31" s="292"/>
      <c r="P31" s="292"/>
      <c r="Q31" s="292"/>
      <c r="R31" s="292">
        <v>1495395000</v>
      </c>
    </row>
    <row r="32" spans="1:18" customFormat="1">
      <c r="A32" s="7" t="s">
        <v>275</v>
      </c>
      <c r="B32" s="292"/>
      <c r="C32" s="292"/>
      <c r="D32" s="292">
        <v>447995000</v>
      </c>
      <c r="E32" s="292">
        <v>290966118</v>
      </c>
      <c r="F32" s="292">
        <v>383049109</v>
      </c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>
        <v>1122010227</v>
      </c>
    </row>
    <row r="33" spans="1:18" customFormat="1">
      <c r="A33" s="7" t="s">
        <v>361</v>
      </c>
      <c r="B33" s="292"/>
      <c r="C33" s="292"/>
      <c r="D33" s="292"/>
      <c r="E33" s="292"/>
      <c r="F33" s="292"/>
      <c r="G33" s="292"/>
      <c r="H33" s="292"/>
      <c r="I33" s="292">
        <v>1746890082</v>
      </c>
      <c r="J33" s="292"/>
      <c r="K33" s="292"/>
      <c r="L33" s="292"/>
      <c r="M33" s="292"/>
      <c r="N33" s="292"/>
      <c r="O33" s="292"/>
      <c r="P33" s="292"/>
      <c r="Q33" s="292"/>
      <c r="R33" s="292">
        <v>1746890082</v>
      </c>
    </row>
    <row r="34" spans="1:18" customFormat="1">
      <c r="A34" s="7" t="s">
        <v>379</v>
      </c>
      <c r="B34" s="292">
        <v>742390906700</v>
      </c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>
        <v>7532441569</v>
      </c>
      <c r="Q34" s="292"/>
      <c r="R34" s="292">
        <v>749923348269</v>
      </c>
    </row>
    <row r="35" spans="1:18" customFormat="1">
      <c r="A35" s="7" t="s">
        <v>197</v>
      </c>
      <c r="B35" s="292"/>
      <c r="C35" s="292"/>
      <c r="D35" s="292"/>
      <c r="E35" s="292"/>
      <c r="F35" s="292">
        <v>14803171700</v>
      </c>
      <c r="G35" s="292"/>
      <c r="H35" s="292">
        <v>4019913496</v>
      </c>
      <c r="I35" s="292"/>
      <c r="J35" s="292"/>
      <c r="K35" s="292"/>
      <c r="L35" s="292"/>
      <c r="M35" s="292"/>
      <c r="N35" s="292"/>
      <c r="O35" s="292"/>
      <c r="P35" s="292"/>
      <c r="Q35" s="292"/>
      <c r="R35" s="292">
        <v>18823085196</v>
      </c>
    </row>
    <row r="36" spans="1:18" customFormat="1">
      <c r="A36" s="7" t="s">
        <v>702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</row>
    <row r="37" spans="1:18">
      <c r="A37" s="7" t="s">
        <v>703</v>
      </c>
      <c r="B37" s="293">
        <v>746490906700</v>
      </c>
      <c r="C37" s="293">
        <v>14028209000</v>
      </c>
      <c r="D37" s="293">
        <v>20500000000</v>
      </c>
      <c r="E37" s="293">
        <v>15666171505</v>
      </c>
      <c r="F37" s="293">
        <v>15603530000</v>
      </c>
      <c r="G37" s="293">
        <v>30000000000</v>
      </c>
      <c r="H37" s="293">
        <v>51627500000</v>
      </c>
      <c r="I37" s="293">
        <v>19221000000</v>
      </c>
      <c r="J37" s="293">
        <v>4348000000</v>
      </c>
      <c r="K37" s="293">
        <v>21000000000</v>
      </c>
      <c r="L37" s="293">
        <v>13511000000</v>
      </c>
      <c r="M37" s="293">
        <v>53000000000</v>
      </c>
      <c r="N37" s="292">
        <v>10700000000</v>
      </c>
      <c r="O37" s="292">
        <v>7040000000</v>
      </c>
      <c r="P37" s="292">
        <v>21367000000</v>
      </c>
      <c r="Q37" s="292"/>
      <c r="R37" s="292">
        <v>1044103317205</v>
      </c>
    </row>
  </sheetData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E37"/>
  <sheetViews>
    <sheetView topLeftCell="P1" workbookViewId="0">
      <pane ySplit="4" topLeftCell="A25" activePane="bottomLeft" state="frozen"/>
      <selection pane="bottomLeft" activeCell="R33" sqref="R33"/>
    </sheetView>
  </sheetViews>
  <sheetFormatPr baseColWidth="10" defaultColWidth="11.44140625" defaultRowHeight="14.4"/>
  <cols>
    <col min="1" max="1" width="78.44140625" bestFit="1" customWidth="1"/>
    <col min="2" max="2" width="22.44140625" style="3" hidden="1" customWidth="1"/>
    <col min="3" max="6" width="16.88671875" style="3" hidden="1" customWidth="1"/>
    <col min="7" max="7" width="15.6640625" style="3" hidden="1" customWidth="1"/>
    <col min="8" max="8" width="17.88671875" style="3" hidden="1" customWidth="1"/>
    <col min="9" max="9" width="16.88671875" style="3" hidden="1" customWidth="1"/>
    <col min="10" max="11" width="16.88671875" style="3" customWidth="1"/>
    <col min="12" max="12" width="15.44140625" style="3" customWidth="1"/>
    <col min="13" max="15" width="16.88671875" style="3" customWidth="1"/>
    <col min="16" max="16" width="17.88671875" style="3" bestFit="1" customWidth="1"/>
    <col min="17" max="17" width="12.44140625" style="3" customWidth="1"/>
    <col min="18" max="18" width="18.88671875" style="3" bestFit="1" customWidth="1"/>
    <col min="19" max="19" width="14" style="217" bestFit="1" customWidth="1"/>
    <col min="20" max="20" width="13.33203125" style="217" bestFit="1" customWidth="1"/>
    <col min="21" max="21" width="13.33203125" bestFit="1" customWidth="1"/>
    <col min="22" max="22" width="12.5546875" bestFit="1" customWidth="1"/>
  </cols>
  <sheetData>
    <row r="3" spans="1:31">
      <c r="A3" s="6" t="s">
        <v>704</v>
      </c>
      <c r="B3" s="6" t="s">
        <v>700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31">
      <c r="A4" s="6" t="s">
        <v>701</v>
      </c>
      <c r="B4" s="292" t="s">
        <v>686</v>
      </c>
      <c r="C4" s="292" t="s">
        <v>685</v>
      </c>
      <c r="D4" s="292" t="s">
        <v>696</v>
      </c>
      <c r="E4" s="292" t="s">
        <v>697</v>
      </c>
      <c r="F4" s="292" t="s">
        <v>698</v>
      </c>
      <c r="G4" s="292" t="s">
        <v>684</v>
      </c>
      <c r="H4" s="292" t="s">
        <v>690</v>
      </c>
      <c r="I4" s="292" t="s">
        <v>693</v>
      </c>
      <c r="J4" s="292" t="s">
        <v>687</v>
      </c>
      <c r="K4" s="292" t="s">
        <v>695</v>
      </c>
      <c r="L4" s="292" t="s">
        <v>692</v>
      </c>
      <c r="M4" s="292" t="s">
        <v>689</v>
      </c>
      <c r="N4" s="292" t="s">
        <v>688</v>
      </c>
      <c r="O4" s="292" t="s">
        <v>691</v>
      </c>
      <c r="P4" s="292" t="s">
        <v>694</v>
      </c>
      <c r="Q4" s="292" t="s">
        <v>702</v>
      </c>
      <c r="R4" s="292" t="s">
        <v>703</v>
      </c>
      <c r="S4"/>
      <c r="T4"/>
    </row>
    <row r="5" spans="1:31">
      <c r="A5" s="7" t="s">
        <v>203</v>
      </c>
      <c r="B5" s="292"/>
      <c r="C5" s="292"/>
      <c r="D5" s="292"/>
      <c r="E5" s="292"/>
      <c r="F5" s="292"/>
      <c r="G5" s="292"/>
      <c r="H5" s="292">
        <v>4286648404</v>
      </c>
      <c r="I5" s="292"/>
      <c r="J5" s="292"/>
      <c r="K5" s="292"/>
      <c r="L5" s="292"/>
      <c r="M5" s="292"/>
      <c r="N5" s="292"/>
      <c r="O5" s="292"/>
      <c r="P5" s="292"/>
      <c r="Q5" s="292"/>
      <c r="R5" s="292">
        <v>4286648404</v>
      </c>
      <c r="S5"/>
      <c r="T5"/>
      <c r="W5" s="294"/>
      <c r="X5" s="294"/>
      <c r="Y5" s="294"/>
      <c r="Z5" s="294"/>
      <c r="AA5" s="294"/>
      <c r="AB5" s="294"/>
      <c r="AC5" s="294"/>
      <c r="AD5" s="294"/>
      <c r="AE5" s="294"/>
    </row>
    <row r="6" spans="1:31">
      <c r="A6" s="7" t="s">
        <v>223</v>
      </c>
      <c r="B6" s="292"/>
      <c r="C6" s="292"/>
      <c r="D6" s="292"/>
      <c r="E6" s="292"/>
      <c r="F6" s="292"/>
      <c r="G6" s="292"/>
      <c r="H6" s="292">
        <v>1840529269</v>
      </c>
      <c r="I6" s="292"/>
      <c r="J6" s="292"/>
      <c r="K6" s="292"/>
      <c r="L6" s="292"/>
      <c r="M6" s="292"/>
      <c r="N6" s="292"/>
      <c r="O6" s="292"/>
      <c r="P6" s="292"/>
      <c r="Q6" s="292"/>
      <c r="R6" s="292">
        <v>1840529269</v>
      </c>
      <c r="S6"/>
      <c r="T6"/>
      <c r="W6" s="294"/>
      <c r="X6" s="294"/>
      <c r="Y6" s="294"/>
      <c r="Z6" s="294"/>
      <c r="AA6" s="294"/>
      <c r="AB6" s="294"/>
      <c r="AC6" s="294"/>
      <c r="AD6" s="294"/>
      <c r="AE6" s="294"/>
    </row>
    <row r="7" spans="1:31">
      <c r="A7" s="7" t="s">
        <v>209</v>
      </c>
      <c r="B7" s="292"/>
      <c r="C7" s="292"/>
      <c r="D7" s="292"/>
      <c r="E7" s="292"/>
      <c r="F7" s="292"/>
      <c r="G7" s="292"/>
      <c r="H7" s="292"/>
      <c r="I7" s="292"/>
      <c r="J7" s="292">
        <v>214132133</v>
      </c>
      <c r="K7" s="292"/>
      <c r="L7" s="292"/>
      <c r="M7" s="292"/>
      <c r="N7" s="292"/>
      <c r="O7" s="292">
        <v>2601818278</v>
      </c>
      <c r="P7" s="292"/>
      <c r="Q7" s="292"/>
      <c r="R7" s="292">
        <v>2815950411</v>
      </c>
      <c r="S7"/>
      <c r="T7"/>
      <c r="W7" s="294"/>
      <c r="X7" s="294"/>
      <c r="Y7" s="294"/>
      <c r="Z7" s="294"/>
      <c r="AA7" s="294"/>
      <c r="AB7" s="294"/>
      <c r="AC7" s="294"/>
      <c r="AD7" s="294"/>
      <c r="AE7" s="294"/>
    </row>
    <row r="8" spans="1:31">
      <c r="A8" s="7" t="s">
        <v>231</v>
      </c>
      <c r="B8" s="292"/>
      <c r="C8" s="292"/>
      <c r="D8" s="292"/>
      <c r="E8" s="292"/>
      <c r="F8" s="292"/>
      <c r="G8" s="292"/>
      <c r="H8" s="292">
        <v>3281247011</v>
      </c>
      <c r="I8" s="292"/>
      <c r="J8" s="292"/>
      <c r="K8" s="292"/>
      <c r="L8" s="292"/>
      <c r="M8" s="292"/>
      <c r="N8" s="292"/>
      <c r="O8" s="292"/>
      <c r="P8" s="292"/>
      <c r="Q8" s="292"/>
      <c r="R8" s="292">
        <v>3281247011</v>
      </c>
      <c r="S8"/>
      <c r="T8"/>
      <c r="W8" s="294"/>
      <c r="X8" s="294"/>
      <c r="Y8" s="294"/>
      <c r="Z8" s="294"/>
      <c r="AA8" s="294"/>
      <c r="AB8" s="294"/>
      <c r="AC8" s="294"/>
      <c r="AD8" s="294"/>
      <c r="AE8" s="294"/>
    </row>
    <row r="9" spans="1:31" s="303" customFormat="1">
      <c r="A9" s="302" t="s">
        <v>367</v>
      </c>
      <c r="B9" s="293"/>
      <c r="C9" s="293">
        <v>597962057</v>
      </c>
      <c r="D9" s="293"/>
      <c r="E9" s="293"/>
      <c r="F9" s="293"/>
      <c r="G9" s="293"/>
      <c r="H9" s="293"/>
      <c r="I9" s="293">
        <v>1967288926</v>
      </c>
      <c r="J9" s="293"/>
      <c r="K9" s="293"/>
      <c r="L9" s="293"/>
      <c r="M9" s="293"/>
      <c r="N9" s="293"/>
      <c r="O9" s="293"/>
      <c r="P9" s="293"/>
      <c r="Q9" s="293"/>
      <c r="R9" s="293">
        <v>2565250983</v>
      </c>
      <c r="W9" s="304"/>
      <c r="X9" s="304"/>
      <c r="Y9" s="304"/>
      <c r="Z9" s="304"/>
      <c r="AA9" s="304"/>
      <c r="AB9" s="304"/>
      <c r="AC9" s="304"/>
      <c r="AD9" s="304"/>
      <c r="AE9" s="304"/>
    </row>
    <row r="10" spans="1:31">
      <c r="A10" s="7" t="s">
        <v>233</v>
      </c>
      <c r="B10" s="292"/>
      <c r="C10" s="292"/>
      <c r="D10" s="292"/>
      <c r="E10" s="292"/>
      <c r="F10" s="292"/>
      <c r="G10" s="292"/>
      <c r="H10" s="292">
        <v>3207358413</v>
      </c>
      <c r="I10" s="292"/>
      <c r="J10" s="292"/>
      <c r="K10" s="292"/>
      <c r="L10" s="292"/>
      <c r="M10" s="292"/>
      <c r="N10" s="292"/>
      <c r="O10" s="292"/>
      <c r="P10" s="292"/>
      <c r="Q10" s="292"/>
      <c r="R10" s="292">
        <v>3207358413</v>
      </c>
      <c r="S10"/>
      <c r="T10"/>
      <c r="W10" s="294"/>
      <c r="X10" s="294"/>
      <c r="Y10" s="294"/>
      <c r="Z10" s="294"/>
      <c r="AA10" s="294"/>
      <c r="AB10" s="294"/>
      <c r="AC10" s="294"/>
      <c r="AD10" s="294"/>
      <c r="AE10" s="294"/>
    </row>
    <row r="11" spans="1:31" s="303" customFormat="1">
      <c r="A11" s="302" t="s">
        <v>377</v>
      </c>
      <c r="B11" s="293"/>
      <c r="C11" s="293">
        <v>3061227103</v>
      </c>
      <c r="D11" s="293"/>
      <c r="E11" s="293"/>
      <c r="F11" s="293"/>
      <c r="G11" s="293"/>
      <c r="H11" s="293"/>
      <c r="I11" s="293">
        <v>1745153665</v>
      </c>
      <c r="J11" s="293"/>
      <c r="K11" s="293"/>
      <c r="L11" s="293"/>
      <c r="M11" s="293"/>
      <c r="N11" s="293"/>
      <c r="O11" s="293"/>
      <c r="P11" s="293"/>
      <c r="Q11" s="293"/>
      <c r="R11" s="293">
        <v>4806380768</v>
      </c>
      <c r="W11" s="304"/>
      <c r="X11" s="304"/>
      <c r="Y11" s="304"/>
      <c r="Z11" s="304"/>
      <c r="AA11" s="304"/>
      <c r="AB11" s="304"/>
      <c r="AC11" s="304"/>
      <c r="AD11" s="304"/>
      <c r="AE11" s="304"/>
    </row>
    <row r="12" spans="1:31">
      <c r="A12" s="7" t="s">
        <v>225</v>
      </c>
      <c r="B12" s="292"/>
      <c r="C12" s="292"/>
      <c r="D12" s="292"/>
      <c r="E12" s="292"/>
      <c r="F12" s="292"/>
      <c r="G12" s="292"/>
      <c r="H12" s="292">
        <v>8078207672</v>
      </c>
      <c r="I12" s="292"/>
      <c r="J12" s="292"/>
      <c r="K12" s="292"/>
      <c r="L12" s="292"/>
      <c r="M12" s="292"/>
      <c r="N12" s="292"/>
      <c r="O12" s="292"/>
      <c r="P12" s="292"/>
      <c r="Q12" s="292"/>
      <c r="R12" s="292">
        <v>8078207672</v>
      </c>
      <c r="S12"/>
      <c r="T12"/>
      <c r="W12" s="294"/>
      <c r="X12" s="294"/>
      <c r="Y12" s="294"/>
      <c r="Z12" s="294"/>
      <c r="AA12" s="294"/>
      <c r="AB12" s="294"/>
      <c r="AC12" s="294"/>
      <c r="AD12" s="294"/>
      <c r="AE12" s="294"/>
    </row>
    <row r="13" spans="1:31">
      <c r="A13" s="7" t="s">
        <v>207</v>
      </c>
      <c r="B13" s="292"/>
      <c r="C13" s="292"/>
      <c r="D13" s="292"/>
      <c r="E13" s="292">
        <v>8156802642</v>
      </c>
      <c r="F13" s="292"/>
      <c r="G13" s="292"/>
      <c r="H13" s="292">
        <v>2238663592</v>
      </c>
      <c r="I13" s="292"/>
      <c r="J13" s="292"/>
      <c r="K13" s="292"/>
      <c r="L13" s="292"/>
      <c r="M13" s="292"/>
      <c r="N13" s="292"/>
      <c r="O13" s="292"/>
      <c r="P13" s="292"/>
      <c r="Q13" s="292"/>
      <c r="R13" s="292">
        <v>10395466234</v>
      </c>
      <c r="S13"/>
      <c r="T13"/>
      <c r="W13" s="294"/>
      <c r="X13" s="294"/>
      <c r="Y13" s="294"/>
      <c r="Z13" s="294"/>
      <c r="AA13" s="294"/>
      <c r="AB13" s="294"/>
      <c r="AC13" s="294"/>
      <c r="AD13" s="294"/>
      <c r="AE13" s="294"/>
    </row>
    <row r="14" spans="1:31">
      <c r="A14" s="7" t="s">
        <v>229</v>
      </c>
      <c r="B14" s="292"/>
      <c r="C14" s="292"/>
      <c r="D14" s="292"/>
      <c r="E14" s="292"/>
      <c r="F14" s="292"/>
      <c r="G14" s="292"/>
      <c r="H14" s="292">
        <v>2523116676</v>
      </c>
      <c r="I14" s="292"/>
      <c r="J14" s="292"/>
      <c r="K14" s="292"/>
      <c r="L14" s="292"/>
      <c r="M14" s="292"/>
      <c r="N14" s="292"/>
      <c r="O14" s="292"/>
      <c r="P14" s="292"/>
      <c r="Q14" s="292"/>
      <c r="R14" s="292">
        <v>2523116676</v>
      </c>
      <c r="S14"/>
      <c r="T14"/>
      <c r="W14" s="294"/>
      <c r="X14" s="294"/>
      <c r="Y14" s="294"/>
      <c r="Z14" s="294"/>
      <c r="AA14" s="294"/>
      <c r="AB14" s="294"/>
      <c r="AC14" s="294"/>
      <c r="AD14" s="294"/>
      <c r="AE14" s="294"/>
    </row>
    <row r="15" spans="1:31" s="403" customFormat="1">
      <c r="A15" s="401" t="s">
        <v>227</v>
      </c>
      <c r="B15" s="402"/>
      <c r="C15" s="402"/>
      <c r="D15" s="402"/>
      <c r="E15" s="402"/>
      <c r="F15" s="402"/>
      <c r="G15" s="402"/>
      <c r="H15" s="402">
        <v>2479575457</v>
      </c>
      <c r="I15" s="402"/>
      <c r="J15" s="402"/>
      <c r="K15" s="402"/>
      <c r="L15" s="402"/>
      <c r="M15" s="402"/>
      <c r="N15" s="402"/>
      <c r="O15" s="402"/>
      <c r="P15" s="402"/>
      <c r="Q15" s="402"/>
      <c r="R15" s="402">
        <v>2479575457</v>
      </c>
      <c r="W15" s="404" t="s">
        <v>705</v>
      </c>
      <c r="X15" s="404"/>
      <c r="Y15" s="404"/>
      <c r="Z15" s="404"/>
      <c r="AA15" s="404"/>
      <c r="AB15" s="404"/>
      <c r="AC15" s="404"/>
      <c r="AD15" s="404"/>
      <c r="AE15" s="404"/>
    </row>
    <row r="16" spans="1:31" s="303" customFormat="1">
      <c r="A16" s="302" t="s">
        <v>375</v>
      </c>
      <c r="B16" s="293"/>
      <c r="C16" s="293">
        <v>272339048</v>
      </c>
      <c r="D16" s="293">
        <v>3738937469</v>
      </c>
      <c r="E16" s="293"/>
      <c r="F16" s="293"/>
      <c r="G16" s="293"/>
      <c r="H16" s="293"/>
      <c r="I16" s="293">
        <v>4637870499</v>
      </c>
      <c r="J16" s="293"/>
      <c r="K16" s="293"/>
      <c r="L16" s="293"/>
      <c r="M16" s="293"/>
      <c r="N16" s="293"/>
      <c r="O16" s="293"/>
      <c r="P16" s="293"/>
      <c r="Q16" s="293"/>
      <c r="R16" s="293">
        <v>8649147016</v>
      </c>
      <c r="W16" s="304"/>
      <c r="X16" s="304"/>
      <c r="Y16" s="304"/>
      <c r="Z16" s="304"/>
      <c r="AA16" s="304"/>
      <c r="AB16" s="304"/>
      <c r="AC16" s="304"/>
      <c r="AD16" s="304"/>
      <c r="AE16" s="304"/>
    </row>
    <row r="17" spans="1:31">
      <c r="A17" s="7" t="s">
        <v>395</v>
      </c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>
        <v>3235807711</v>
      </c>
      <c r="Q17" s="292"/>
      <c r="R17" s="292">
        <v>3235807711</v>
      </c>
      <c r="S17"/>
      <c r="T17"/>
      <c r="W17" s="294"/>
      <c r="X17" s="294"/>
      <c r="Y17" s="294"/>
      <c r="Z17" s="294"/>
      <c r="AA17" s="294"/>
      <c r="AB17" s="294"/>
      <c r="AC17" s="294"/>
      <c r="AD17" s="294"/>
      <c r="AE17" s="294"/>
    </row>
    <row r="18" spans="1:31">
      <c r="A18" s="7" t="s">
        <v>391</v>
      </c>
      <c r="B18" s="292"/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>
        <v>8370715196</v>
      </c>
      <c r="Q18" s="292"/>
      <c r="R18" s="292">
        <v>8370715196</v>
      </c>
      <c r="S18"/>
      <c r="T18"/>
      <c r="W18" s="294"/>
      <c r="X18" s="294"/>
      <c r="Y18" s="294"/>
      <c r="Z18" s="294"/>
      <c r="AA18" s="294"/>
      <c r="AB18" s="294"/>
      <c r="AC18" s="294"/>
      <c r="AD18" s="294"/>
      <c r="AE18" s="294"/>
    </row>
    <row r="19" spans="1:31">
      <c r="A19" s="7" t="s">
        <v>401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>
        <v>7784094566</v>
      </c>
      <c r="L19" s="292"/>
      <c r="M19" s="292"/>
      <c r="N19" s="292"/>
      <c r="O19" s="292"/>
      <c r="P19" s="292"/>
      <c r="Q19" s="292"/>
      <c r="R19" s="292">
        <v>7784094566</v>
      </c>
      <c r="S19"/>
      <c r="T19"/>
      <c r="W19" s="294"/>
      <c r="X19" s="294"/>
      <c r="Y19" s="294"/>
      <c r="Z19" s="294"/>
      <c r="AA19" s="294"/>
      <c r="AB19" s="294"/>
      <c r="AC19" s="294"/>
      <c r="AD19" s="294"/>
      <c r="AE19" s="294"/>
    </row>
    <row r="20" spans="1:31">
      <c r="A20" s="7" t="s">
        <v>156</v>
      </c>
      <c r="B20" s="292"/>
      <c r="C20" s="292"/>
      <c r="D20" s="292"/>
      <c r="E20" s="292"/>
      <c r="F20" s="292"/>
      <c r="G20" s="292"/>
      <c r="H20" s="292"/>
      <c r="I20" s="292"/>
      <c r="J20" s="292">
        <v>0</v>
      </c>
      <c r="K20" s="292"/>
      <c r="L20" s="292"/>
      <c r="M20" s="292"/>
      <c r="N20" s="292"/>
      <c r="O20" s="292"/>
      <c r="P20" s="292"/>
      <c r="Q20" s="292"/>
      <c r="R20" s="292">
        <v>0</v>
      </c>
      <c r="S20"/>
      <c r="T20"/>
      <c r="W20" s="294"/>
      <c r="X20" s="294"/>
      <c r="Y20" s="294"/>
      <c r="Z20" s="294"/>
      <c r="AA20" s="294"/>
      <c r="AB20" s="294"/>
      <c r="AC20" s="294"/>
      <c r="AD20" s="294"/>
      <c r="AE20" s="294"/>
    </row>
    <row r="21" spans="1:31">
      <c r="A21" s="7" t="s">
        <v>151</v>
      </c>
      <c r="B21" s="292">
        <v>0</v>
      </c>
      <c r="C21" s="292">
        <v>0</v>
      </c>
      <c r="D21" s="292"/>
      <c r="E21" s="292"/>
      <c r="F21" s="292"/>
      <c r="G21" s="292">
        <v>0</v>
      </c>
      <c r="H21" s="292"/>
      <c r="I21" s="292"/>
      <c r="J21" s="292"/>
      <c r="K21" s="292"/>
      <c r="L21" s="292"/>
      <c r="M21" s="292"/>
      <c r="N21" s="292"/>
      <c r="O21" s="292"/>
      <c r="P21" s="292"/>
      <c r="Q21" s="292"/>
      <c r="R21" s="292">
        <v>0</v>
      </c>
      <c r="S21"/>
      <c r="T21"/>
      <c r="W21" s="294"/>
      <c r="X21" s="294"/>
      <c r="Y21" s="294"/>
      <c r="Z21" s="294"/>
      <c r="AA21" s="294"/>
      <c r="AB21" s="294"/>
      <c r="AC21" s="294"/>
      <c r="AD21" s="294"/>
      <c r="AE21" s="294"/>
    </row>
    <row r="22" spans="1:31">
      <c r="A22" s="7" t="s">
        <v>189</v>
      </c>
      <c r="B22" s="292"/>
      <c r="C22" s="292"/>
      <c r="D22" s="292"/>
      <c r="E22" s="292"/>
      <c r="F22" s="292"/>
      <c r="G22" s="292"/>
      <c r="H22" s="292"/>
      <c r="I22" s="292"/>
      <c r="J22" s="292">
        <v>1671563208</v>
      </c>
      <c r="K22" s="292"/>
      <c r="L22" s="292"/>
      <c r="M22" s="292"/>
      <c r="N22" s="292"/>
      <c r="O22" s="292"/>
      <c r="P22" s="292"/>
      <c r="Q22" s="292"/>
      <c r="R22" s="292">
        <v>1671563208</v>
      </c>
      <c r="S22"/>
      <c r="T22"/>
      <c r="W22" s="294"/>
      <c r="X22" s="294"/>
      <c r="Y22" s="294"/>
      <c r="Z22" s="294"/>
      <c r="AA22" s="294"/>
      <c r="AB22" s="294"/>
      <c r="AC22" s="294"/>
      <c r="AD22" s="294"/>
      <c r="AE22" s="294"/>
    </row>
    <row r="23" spans="1:31">
      <c r="A23" s="7" t="s">
        <v>179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>
        <v>363933315</v>
      </c>
      <c r="O23" s="292"/>
      <c r="P23" s="292"/>
      <c r="Q23" s="292"/>
      <c r="R23" s="292">
        <v>363933315</v>
      </c>
      <c r="S23"/>
      <c r="T23"/>
      <c r="W23" s="294"/>
      <c r="X23" s="294"/>
      <c r="Y23" s="294"/>
      <c r="Z23" s="294"/>
      <c r="AA23" s="294"/>
      <c r="AB23" s="294"/>
      <c r="AC23" s="294"/>
      <c r="AD23" s="294"/>
      <c r="AE23" s="294"/>
    </row>
    <row r="24" spans="1:31">
      <c r="A24" s="7" t="s">
        <v>195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>
        <v>1643297200</v>
      </c>
      <c r="O24" s="292"/>
      <c r="P24" s="292"/>
      <c r="Q24" s="292"/>
      <c r="R24" s="292">
        <v>1643297200</v>
      </c>
      <c r="S24"/>
      <c r="T24"/>
      <c r="W24" s="294"/>
      <c r="X24" s="294"/>
      <c r="Y24" s="294"/>
      <c r="Z24" s="294"/>
      <c r="AA24" s="294"/>
      <c r="AB24" s="294"/>
      <c r="AC24" s="294"/>
      <c r="AD24" s="294"/>
      <c r="AE24" s="294"/>
    </row>
    <row r="25" spans="1:31">
      <c r="A25" s="7" t="s">
        <v>167</v>
      </c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>
        <v>65901600</v>
      </c>
      <c r="O25" s="292"/>
      <c r="P25" s="292"/>
      <c r="Q25" s="292"/>
      <c r="R25" s="292">
        <v>65901600</v>
      </c>
      <c r="S25"/>
      <c r="T25"/>
      <c r="W25" s="294"/>
      <c r="X25" s="294"/>
      <c r="Y25" s="294"/>
      <c r="Z25" s="294"/>
      <c r="AA25" s="294"/>
      <c r="AB25" s="294"/>
      <c r="AC25" s="294"/>
      <c r="AD25" s="294"/>
      <c r="AE25" s="294"/>
    </row>
    <row r="26" spans="1:31">
      <c r="A26" s="7" t="s">
        <v>185</v>
      </c>
      <c r="B26" s="292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>
        <v>504576000</v>
      </c>
      <c r="O26" s="292"/>
      <c r="P26" s="292"/>
      <c r="Q26" s="292"/>
      <c r="R26" s="292">
        <v>504576000</v>
      </c>
      <c r="S26"/>
      <c r="T26"/>
      <c r="W26" s="294"/>
      <c r="X26" s="294"/>
      <c r="Y26" s="294"/>
      <c r="Z26" s="294"/>
      <c r="AA26" s="294"/>
      <c r="AB26" s="294"/>
      <c r="AC26" s="294"/>
      <c r="AD26" s="294"/>
      <c r="AE26" s="294"/>
    </row>
    <row r="27" spans="1:31">
      <c r="A27" s="7" t="s">
        <v>171</v>
      </c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>
        <v>6181572008.2799997</v>
      </c>
      <c r="N27" s="292"/>
      <c r="O27" s="292"/>
      <c r="P27" s="292"/>
      <c r="Q27" s="292"/>
      <c r="R27" s="292">
        <v>6181572008.2799997</v>
      </c>
      <c r="S27"/>
      <c r="T27"/>
      <c r="W27" s="294"/>
      <c r="X27" s="294"/>
      <c r="Y27" s="294"/>
      <c r="Z27" s="294"/>
      <c r="AA27" s="294"/>
      <c r="AB27" s="294"/>
      <c r="AC27" s="294"/>
      <c r="AD27" s="294"/>
      <c r="AE27" s="294"/>
    </row>
    <row r="28" spans="1:31">
      <c r="A28" s="7" t="s">
        <v>235</v>
      </c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>
        <v>235075000</v>
      </c>
      <c r="O28" s="292"/>
      <c r="P28" s="292"/>
      <c r="Q28" s="292"/>
      <c r="R28" s="292">
        <v>235075000</v>
      </c>
      <c r="S28"/>
      <c r="T28"/>
      <c r="W28" s="294"/>
      <c r="X28" s="294"/>
      <c r="Y28" s="294"/>
      <c r="Z28" s="294"/>
      <c r="AA28" s="294"/>
      <c r="AB28" s="294"/>
      <c r="AC28" s="294"/>
      <c r="AD28" s="294"/>
      <c r="AE28" s="294"/>
    </row>
    <row r="29" spans="1:31">
      <c r="A29" s="7" t="s">
        <v>237</v>
      </c>
      <c r="B29" s="292"/>
      <c r="C29" s="292"/>
      <c r="D29" s="292"/>
      <c r="E29" s="292"/>
      <c r="F29" s="292"/>
      <c r="G29" s="292"/>
      <c r="H29" s="292"/>
      <c r="I29" s="292"/>
      <c r="J29" s="292"/>
      <c r="K29" s="292"/>
      <c r="L29" s="292">
        <v>261686950</v>
      </c>
      <c r="M29" s="292"/>
      <c r="N29" s="292">
        <v>1041014382</v>
      </c>
      <c r="O29" s="292"/>
      <c r="P29" s="292"/>
      <c r="Q29" s="292"/>
      <c r="R29" s="292">
        <v>1302701332</v>
      </c>
      <c r="S29"/>
      <c r="T29"/>
      <c r="W29" s="294"/>
      <c r="X29" s="294"/>
      <c r="Y29" s="294"/>
      <c r="Z29" s="294"/>
      <c r="AA29" s="294"/>
      <c r="AB29" s="294"/>
      <c r="AC29" s="294"/>
      <c r="AD29" s="294"/>
      <c r="AE29" s="294"/>
    </row>
    <row r="30" spans="1:31">
      <c r="A30" s="7" t="s">
        <v>359</v>
      </c>
      <c r="B30" s="292"/>
      <c r="C30" s="292"/>
      <c r="D30" s="292">
        <v>110666666</v>
      </c>
      <c r="E30" s="292"/>
      <c r="F30" s="292">
        <v>234650859</v>
      </c>
      <c r="G30" s="292"/>
      <c r="H30" s="292"/>
      <c r="I30" s="292"/>
      <c r="J30" s="292"/>
      <c r="K30" s="292"/>
      <c r="L30" s="292"/>
      <c r="M30" s="292"/>
      <c r="N30" s="292">
        <v>550158382</v>
      </c>
      <c r="O30" s="292"/>
      <c r="P30" s="292"/>
      <c r="Q30" s="292"/>
      <c r="R30" s="292">
        <v>895475907</v>
      </c>
      <c r="S30"/>
      <c r="T30"/>
      <c r="W30" s="294"/>
      <c r="X30" s="294"/>
      <c r="Y30" s="294"/>
      <c r="Z30" s="294"/>
      <c r="AA30" s="294"/>
      <c r="AB30" s="294"/>
      <c r="AC30" s="294"/>
      <c r="AD30" s="294"/>
      <c r="AE30" s="294"/>
    </row>
    <row r="31" spans="1:31">
      <c r="A31" s="7" t="s">
        <v>283</v>
      </c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>
        <v>449340007</v>
      </c>
      <c r="O31" s="292"/>
      <c r="P31" s="292"/>
      <c r="Q31" s="292"/>
      <c r="R31" s="292">
        <v>449340007</v>
      </c>
      <c r="S31"/>
      <c r="T31"/>
      <c r="W31" s="294"/>
      <c r="X31" s="294"/>
      <c r="Y31" s="294"/>
      <c r="Z31" s="294"/>
      <c r="AA31" s="294"/>
      <c r="AB31" s="294"/>
      <c r="AC31" s="294"/>
      <c r="AD31" s="294"/>
      <c r="AE31" s="294"/>
    </row>
    <row r="32" spans="1:31">
      <c r="A32" s="7" t="s">
        <v>275</v>
      </c>
      <c r="B32" s="292"/>
      <c r="C32" s="292"/>
      <c r="D32" s="292">
        <v>181493333</v>
      </c>
      <c r="E32" s="292">
        <v>290966118</v>
      </c>
      <c r="F32" s="292">
        <v>378087618</v>
      </c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>
        <v>850547069</v>
      </c>
      <c r="S32"/>
      <c r="T32"/>
      <c r="U32" s="409"/>
      <c r="W32" s="294"/>
      <c r="X32" s="294"/>
      <c r="Y32" s="294"/>
      <c r="Z32" s="294"/>
      <c r="AA32" s="294"/>
      <c r="AB32" s="294"/>
      <c r="AC32" s="294"/>
      <c r="AD32" s="294"/>
      <c r="AE32" s="294"/>
    </row>
    <row r="33" spans="1:31" s="303" customFormat="1">
      <c r="A33" s="302" t="s">
        <v>361</v>
      </c>
      <c r="B33" s="293"/>
      <c r="C33" s="293"/>
      <c r="D33" s="293"/>
      <c r="E33" s="293"/>
      <c r="F33" s="293"/>
      <c r="G33" s="293"/>
      <c r="H33" s="293"/>
      <c r="I33" s="293">
        <v>1136662072</v>
      </c>
      <c r="J33" s="293"/>
      <c r="K33" s="293"/>
      <c r="L33" s="293"/>
      <c r="M33" s="293"/>
      <c r="N33" s="293"/>
      <c r="O33" s="293"/>
      <c r="P33" s="293"/>
      <c r="Q33" s="293"/>
      <c r="R33" s="293">
        <v>1136662072</v>
      </c>
      <c r="W33" s="304"/>
      <c r="X33" s="304"/>
      <c r="Y33" s="304"/>
      <c r="Z33" s="304"/>
      <c r="AA33" s="304"/>
      <c r="AB33" s="304"/>
      <c r="AC33" s="304"/>
      <c r="AD33" s="304"/>
      <c r="AE33" s="304"/>
    </row>
    <row r="34" spans="1:31">
      <c r="A34" s="7" t="s">
        <v>379</v>
      </c>
      <c r="B34" s="292">
        <v>585440956389</v>
      </c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>
        <v>2212471284</v>
      </c>
      <c r="Q34" s="292"/>
      <c r="R34" s="292">
        <v>587653427673</v>
      </c>
      <c r="S34"/>
      <c r="T34"/>
      <c r="W34" s="294"/>
      <c r="X34" s="294"/>
      <c r="Y34" s="294"/>
      <c r="Z34" s="294"/>
      <c r="AA34" s="294"/>
      <c r="AB34" s="294"/>
      <c r="AC34" s="294"/>
      <c r="AD34" s="294"/>
      <c r="AE34" s="294"/>
    </row>
    <row r="35" spans="1:31">
      <c r="A35" s="7" t="s">
        <v>197</v>
      </c>
      <c r="B35" s="292"/>
      <c r="C35" s="292"/>
      <c r="D35" s="292"/>
      <c r="E35" s="292"/>
      <c r="F35" s="292">
        <v>8724850015</v>
      </c>
      <c r="G35" s="292"/>
      <c r="H35" s="292">
        <v>2345589824</v>
      </c>
      <c r="I35" s="292"/>
      <c r="J35" s="292"/>
      <c r="K35" s="292"/>
      <c r="L35" s="292"/>
      <c r="M35" s="292"/>
      <c r="N35" s="292"/>
      <c r="O35" s="292"/>
      <c r="P35" s="292"/>
      <c r="Q35" s="292"/>
      <c r="R35" s="292">
        <v>11070439839</v>
      </c>
      <c r="S35"/>
      <c r="T35"/>
      <c r="W35" s="294"/>
      <c r="X35" s="294"/>
      <c r="Y35" s="294"/>
      <c r="Z35" s="294"/>
      <c r="AA35" s="294"/>
      <c r="AB35" s="294"/>
      <c r="AC35" s="294"/>
      <c r="AD35" s="294"/>
      <c r="AE35" s="294"/>
    </row>
    <row r="36" spans="1:31">
      <c r="A36" s="7" t="s">
        <v>702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/>
      <c r="T36"/>
    </row>
    <row r="37" spans="1:31">
      <c r="A37" s="7" t="s">
        <v>703</v>
      </c>
      <c r="B37" s="292">
        <v>585440956389</v>
      </c>
      <c r="C37" s="292">
        <v>3931528208</v>
      </c>
      <c r="D37" s="292">
        <v>4031097468</v>
      </c>
      <c r="E37" s="292">
        <v>8447768760</v>
      </c>
      <c r="F37" s="292">
        <v>9337588492</v>
      </c>
      <c r="G37" s="292">
        <v>0</v>
      </c>
      <c r="H37" s="292">
        <v>30280936318</v>
      </c>
      <c r="I37" s="292">
        <v>9486975162</v>
      </c>
      <c r="J37" s="292">
        <v>1885695341</v>
      </c>
      <c r="K37" s="292">
        <v>7784094566</v>
      </c>
      <c r="L37" s="292">
        <v>261686950</v>
      </c>
      <c r="M37" s="292">
        <v>6181572008.2799997</v>
      </c>
      <c r="N37" s="292">
        <v>4853295886</v>
      </c>
      <c r="O37" s="292">
        <v>2601818278</v>
      </c>
      <c r="P37" s="292">
        <v>13818994191</v>
      </c>
      <c r="Q37" s="292"/>
      <c r="R37" s="292">
        <v>688344008017.28003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9"/>
  <sheetViews>
    <sheetView workbookViewId="0">
      <pane ySplit="4" topLeftCell="A5" activePane="bottomLeft" state="frozen"/>
      <selection pane="bottomLeft" activeCell="L17" sqref="L17"/>
    </sheetView>
  </sheetViews>
  <sheetFormatPr baseColWidth="10" defaultColWidth="11.44140625" defaultRowHeight="14.4"/>
  <cols>
    <col min="1" max="1" width="78.44140625" bestFit="1" customWidth="1"/>
    <col min="2" max="2" width="22.44140625" style="1" hidden="1" customWidth="1"/>
    <col min="3" max="4" width="14.33203125" style="1" hidden="1" customWidth="1"/>
    <col min="5" max="6" width="15.109375" style="1" hidden="1" customWidth="1"/>
    <col min="7" max="7" width="14.33203125" style="1" hidden="1" customWidth="1"/>
    <col min="8" max="9" width="15.109375" style="1" hidden="1" customWidth="1"/>
    <col min="10" max="11" width="15.109375" style="1" customWidth="1"/>
    <col min="12" max="12" width="14.109375" style="1" customWidth="1"/>
    <col min="13" max="15" width="15.109375" style="1" customWidth="1"/>
    <col min="16" max="16" width="16.88671875" style="1" customWidth="1"/>
    <col min="17" max="17" width="11" style="1" customWidth="1"/>
    <col min="18" max="18" width="16.88671875" style="1" bestFit="1" customWidth="1"/>
    <col min="19" max="19" width="17.88671875" style="1" bestFit="1" customWidth="1"/>
    <col min="20" max="20" width="13.33203125" style="1" bestFit="1" customWidth="1"/>
    <col min="21" max="21" width="13.33203125" customWidth="1"/>
    <col min="22" max="22" width="18.88671875" bestFit="1" customWidth="1"/>
  </cols>
  <sheetData>
    <row r="3" spans="1:20">
      <c r="A3" s="6" t="s">
        <v>706</v>
      </c>
      <c r="B3" s="6" t="s">
        <v>700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>
      <c r="A4" s="6" t="s">
        <v>701</v>
      </c>
      <c r="B4" t="s">
        <v>686</v>
      </c>
      <c r="C4" t="s">
        <v>685</v>
      </c>
      <c r="D4" t="s">
        <v>696</v>
      </c>
      <c r="E4" t="s">
        <v>697</v>
      </c>
      <c r="F4" t="s">
        <v>698</v>
      </c>
      <c r="G4" t="s">
        <v>684</v>
      </c>
      <c r="H4" t="s">
        <v>690</v>
      </c>
      <c r="I4" t="s">
        <v>693</v>
      </c>
      <c r="J4" t="s">
        <v>687</v>
      </c>
      <c r="K4" t="s">
        <v>695</v>
      </c>
      <c r="L4" t="s">
        <v>692</v>
      </c>
      <c r="M4" t="s">
        <v>689</v>
      </c>
      <c r="N4" t="s">
        <v>688</v>
      </c>
      <c r="O4" t="s">
        <v>691</v>
      </c>
      <c r="P4" t="s">
        <v>694</v>
      </c>
      <c r="Q4" t="s">
        <v>702</v>
      </c>
      <c r="R4" t="s">
        <v>703</v>
      </c>
      <c r="S4"/>
      <c r="T4"/>
    </row>
    <row r="5" spans="1:20">
      <c r="A5" s="7" t="s">
        <v>203</v>
      </c>
      <c r="B5" s="427"/>
      <c r="C5" s="427"/>
      <c r="D5" s="427"/>
      <c r="E5" s="427"/>
      <c r="F5" s="427"/>
      <c r="G5" s="427"/>
      <c r="H5" s="427">
        <v>332124187</v>
      </c>
      <c r="I5" s="427"/>
      <c r="J5" s="427"/>
      <c r="K5" s="427"/>
      <c r="L5" s="427"/>
      <c r="M5" s="427"/>
      <c r="N5" s="427"/>
      <c r="O5" s="427"/>
      <c r="P5" s="427"/>
      <c r="Q5" s="427"/>
      <c r="R5" s="427">
        <v>332124187</v>
      </c>
      <c r="S5"/>
      <c r="T5"/>
    </row>
    <row r="6" spans="1:20">
      <c r="A6" s="7" t="s">
        <v>223</v>
      </c>
      <c r="B6" s="427"/>
      <c r="C6" s="427"/>
      <c r="D6" s="427"/>
      <c r="E6" s="427"/>
      <c r="F6" s="427"/>
      <c r="G6" s="427"/>
      <c r="H6" s="427">
        <v>169702803</v>
      </c>
      <c r="I6" s="427"/>
      <c r="J6" s="427"/>
      <c r="K6" s="427"/>
      <c r="L6" s="427"/>
      <c r="M6" s="427"/>
      <c r="N6" s="427"/>
      <c r="O6" s="427"/>
      <c r="P6" s="427"/>
      <c r="Q6" s="427"/>
      <c r="R6" s="427">
        <v>169702803</v>
      </c>
      <c r="S6"/>
      <c r="T6"/>
    </row>
    <row r="7" spans="1:20">
      <c r="A7" s="7" t="s">
        <v>209</v>
      </c>
      <c r="B7" s="427"/>
      <c r="C7" s="427"/>
      <c r="D7" s="427"/>
      <c r="E7" s="427"/>
      <c r="F7" s="427"/>
      <c r="G7" s="427"/>
      <c r="H7" s="427"/>
      <c r="I7" s="427"/>
      <c r="J7" s="427">
        <v>0</v>
      </c>
      <c r="K7" s="427"/>
      <c r="L7" s="427"/>
      <c r="M7" s="427"/>
      <c r="N7" s="427"/>
      <c r="O7" s="427">
        <v>194670102</v>
      </c>
      <c r="P7" s="427"/>
      <c r="Q7" s="427"/>
      <c r="R7" s="427">
        <v>194670102</v>
      </c>
      <c r="S7"/>
      <c r="T7"/>
    </row>
    <row r="8" spans="1:20">
      <c r="A8" s="7" t="s">
        <v>231</v>
      </c>
      <c r="B8" s="427"/>
      <c r="C8" s="427"/>
      <c r="D8" s="427"/>
      <c r="E8" s="427"/>
      <c r="F8" s="427"/>
      <c r="G8" s="427"/>
      <c r="H8" s="427">
        <v>206013017</v>
      </c>
      <c r="I8" s="427"/>
      <c r="J8" s="427"/>
      <c r="K8" s="427"/>
      <c r="L8" s="427"/>
      <c r="M8" s="427"/>
      <c r="N8" s="427"/>
      <c r="O8" s="427"/>
      <c r="P8" s="427"/>
      <c r="Q8" s="427"/>
      <c r="R8" s="427">
        <v>206013017</v>
      </c>
      <c r="S8"/>
      <c r="T8"/>
    </row>
    <row r="9" spans="1:20" s="303" customFormat="1">
      <c r="A9" s="302" t="s">
        <v>367</v>
      </c>
      <c r="B9" s="307"/>
      <c r="C9" s="307">
        <v>0</v>
      </c>
      <c r="D9" s="307"/>
      <c r="E9" s="307"/>
      <c r="F9" s="307"/>
      <c r="G9" s="307"/>
      <c r="H9" s="307"/>
      <c r="I9" s="307">
        <v>207481580</v>
      </c>
      <c r="J9" s="307"/>
      <c r="K9" s="307"/>
      <c r="L9" s="307"/>
      <c r="M9" s="307"/>
      <c r="N9" s="307"/>
      <c r="O9" s="307"/>
      <c r="P9" s="307"/>
      <c r="Q9" s="307"/>
      <c r="R9" s="307">
        <v>207481580</v>
      </c>
    </row>
    <row r="10" spans="1:20">
      <c r="A10" s="7" t="s">
        <v>233</v>
      </c>
      <c r="B10" s="427"/>
      <c r="C10" s="427"/>
      <c r="D10" s="427"/>
      <c r="E10" s="427"/>
      <c r="F10" s="427"/>
      <c r="G10" s="427"/>
      <c r="H10" s="427">
        <v>267442018</v>
      </c>
      <c r="I10" s="427"/>
      <c r="J10" s="427"/>
      <c r="K10" s="427"/>
      <c r="L10" s="427"/>
      <c r="M10" s="427"/>
      <c r="N10" s="427"/>
      <c r="O10" s="427"/>
      <c r="P10" s="427"/>
      <c r="Q10" s="427"/>
      <c r="R10" s="427">
        <v>267442018</v>
      </c>
      <c r="S10"/>
      <c r="T10"/>
    </row>
    <row r="11" spans="1:20" s="303" customFormat="1">
      <c r="A11" s="302" t="s">
        <v>377</v>
      </c>
      <c r="B11" s="307"/>
      <c r="C11" s="307">
        <v>0</v>
      </c>
      <c r="D11" s="307"/>
      <c r="E11" s="307"/>
      <c r="F11" s="307"/>
      <c r="G11" s="307"/>
      <c r="H11" s="307"/>
      <c r="I11" s="307">
        <v>169823440</v>
      </c>
      <c r="J11" s="307"/>
      <c r="K11" s="307"/>
      <c r="L11" s="307"/>
      <c r="M11" s="307"/>
      <c r="N11" s="307"/>
      <c r="O11" s="307"/>
      <c r="P11" s="307"/>
      <c r="Q11" s="307"/>
      <c r="R11" s="307">
        <v>169823440</v>
      </c>
    </row>
    <row r="12" spans="1:20">
      <c r="A12" s="7" t="s">
        <v>225</v>
      </c>
      <c r="B12" s="427"/>
      <c r="C12" s="427"/>
      <c r="D12" s="427"/>
      <c r="E12" s="427"/>
      <c r="F12" s="427"/>
      <c r="G12" s="427"/>
      <c r="H12" s="427">
        <v>615419577</v>
      </c>
      <c r="I12" s="427"/>
      <c r="J12" s="427"/>
      <c r="K12" s="427"/>
      <c r="L12" s="427"/>
      <c r="M12" s="427"/>
      <c r="N12" s="427"/>
      <c r="O12" s="427"/>
      <c r="P12" s="427"/>
      <c r="Q12" s="427"/>
      <c r="R12" s="427">
        <v>615419577</v>
      </c>
      <c r="S12"/>
      <c r="T12"/>
    </row>
    <row r="13" spans="1:20">
      <c r="A13" s="7" t="s">
        <v>207</v>
      </c>
      <c r="B13" s="427"/>
      <c r="C13" s="427"/>
      <c r="D13" s="427"/>
      <c r="E13" s="427">
        <v>216465983</v>
      </c>
      <c r="F13" s="427"/>
      <c r="G13" s="427"/>
      <c r="H13" s="427">
        <v>145500857</v>
      </c>
      <c r="I13" s="427"/>
      <c r="J13" s="427"/>
      <c r="K13" s="427"/>
      <c r="L13" s="427"/>
      <c r="M13" s="427"/>
      <c r="N13" s="427"/>
      <c r="O13" s="427"/>
      <c r="P13" s="427"/>
      <c r="Q13" s="427"/>
      <c r="R13" s="427">
        <v>361966840</v>
      </c>
      <c r="S13"/>
      <c r="T13"/>
    </row>
    <row r="14" spans="1:20">
      <c r="A14" s="7" t="s">
        <v>229</v>
      </c>
      <c r="B14" s="427"/>
      <c r="C14" s="427"/>
      <c r="D14" s="427"/>
      <c r="E14" s="427"/>
      <c r="F14" s="427"/>
      <c r="G14" s="427"/>
      <c r="H14" s="427">
        <v>193126655</v>
      </c>
      <c r="I14" s="427"/>
      <c r="J14" s="427"/>
      <c r="K14" s="427"/>
      <c r="L14" s="427"/>
      <c r="M14" s="427"/>
      <c r="N14" s="427"/>
      <c r="O14" s="427"/>
      <c r="P14" s="427"/>
      <c r="Q14" s="427"/>
      <c r="R14" s="427">
        <v>193126655</v>
      </c>
      <c r="S14"/>
      <c r="T14"/>
    </row>
    <row r="15" spans="1:20" s="403" customFormat="1">
      <c r="A15" s="401" t="s">
        <v>227</v>
      </c>
      <c r="B15" s="405"/>
      <c r="C15" s="405"/>
      <c r="D15" s="405"/>
      <c r="E15" s="405"/>
      <c r="F15" s="405"/>
      <c r="G15" s="405"/>
      <c r="H15" s="405">
        <v>243071689</v>
      </c>
      <c r="I15" s="405"/>
      <c r="J15" s="405">
        <v>0</v>
      </c>
      <c r="K15" s="405"/>
      <c r="L15" s="405"/>
      <c r="M15" s="405"/>
      <c r="N15" s="405"/>
      <c r="O15" s="405"/>
      <c r="P15" s="405"/>
      <c r="Q15" s="405"/>
      <c r="R15" s="405">
        <v>243071689</v>
      </c>
    </row>
    <row r="16" spans="1:20" s="303" customFormat="1">
      <c r="A16" s="302" t="s">
        <v>375</v>
      </c>
      <c r="B16" s="307"/>
      <c r="C16" s="307">
        <v>0</v>
      </c>
      <c r="D16" s="307">
        <v>174936406</v>
      </c>
      <c r="E16" s="307"/>
      <c r="F16" s="307"/>
      <c r="G16" s="307"/>
      <c r="H16" s="307"/>
      <c r="I16" s="307">
        <v>582993009</v>
      </c>
      <c r="J16" s="307"/>
      <c r="K16" s="307"/>
      <c r="L16" s="307"/>
      <c r="M16" s="307"/>
      <c r="N16" s="307"/>
      <c r="O16" s="307"/>
      <c r="P16" s="307"/>
      <c r="Q16" s="307"/>
      <c r="R16" s="307">
        <v>757929415</v>
      </c>
    </row>
    <row r="17" spans="1:18" customFormat="1">
      <c r="A17" s="7" t="s">
        <v>395</v>
      </c>
      <c r="B17" s="427"/>
      <c r="C17" s="427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>
        <v>249102865</v>
      </c>
      <c r="Q17" s="427"/>
      <c r="R17" s="427">
        <v>249102865</v>
      </c>
    </row>
    <row r="18" spans="1:18" customFormat="1">
      <c r="A18" s="7" t="s">
        <v>391</v>
      </c>
      <c r="B18" s="427"/>
      <c r="C18" s="427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427"/>
      <c r="O18" s="427"/>
      <c r="P18" s="427">
        <v>728984445</v>
      </c>
      <c r="Q18" s="427"/>
      <c r="R18" s="427">
        <v>728984445</v>
      </c>
    </row>
    <row r="19" spans="1:18" customFormat="1">
      <c r="A19" s="7" t="s">
        <v>401</v>
      </c>
      <c r="B19" s="427"/>
      <c r="C19" s="427"/>
      <c r="D19" s="427"/>
      <c r="E19" s="427"/>
      <c r="F19" s="427"/>
      <c r="G19" s="427"/>
      <c r="H19" s="427"/>
      <c r="I19" s="427"/>
      <c r="J19" s="427"/>
      <c r="K19" s="427">
        <v>368040220</v>
      </c>
      <c r="L19" s="427"/>
      <c r="M19" s="427"/>
      <c r="N19" s="427"/>
      <c r="O19" s="427"/>
      <c r="P19" s="427"/>
      <c r="Q19" s="427"/>
      <c r="R19" s="427">
        <v>368040220</v>
      </c>
    </row>
    <row r="20" spans="1:18" customFormat="1">
      <c r="A20" s="7" t="s">
        <v>156</v>
      </c>
      <c r="B20" s="427"/>
      <c r="C20" s="427"/>
      <c r="D20" s="427"/>
      <c r="E20" s="427"/>
      <c r="F20" s="427"/>
      <c r="G20" s="427"/>
      <c r="H20" s="427"/>
      <c r="I20" s="427"/>
      <c r="J20" s="427">
        <v>0</v>
      </c>
      <c r="K20" s="427"/>
      <c r="L20" s="427"/>
      <c r="M20" s="427"/>
      <c r="N20" s="427"/>
      <c r="O20" s="427"/>
      <c r="P20" s="427"/>
      <c r="Q20" s="427"/>
      <c r="R20" s="427">
        <v>0</v>
      </c>
    </row>
    <row r="21" spans="1:18" customFormat="1">
      <c r="A21" s="7" t="s">
        <v>151</v>
      </c>
      <c r="B21" s="427">
        <v>0</v>
      </c>
      <c r="C21" s="427">
        <v>0</v>
      </c>
      <c r="D21" s="427"/>
      <c r="E21" s="427"/>
      <c r="F21" s="427"/>
      <c r="G21" s="427">
        <v>0</v>
      </c>
      <c r="H21" s="427"/>
      <c r="I21" s="427"/>
      <c r="J21" s="427"/>
      <c r="K21" s="427"/>
      <c r="L21" s="427"/>
      <c r="M21" s="427"/>
      <c r="N21" s="427"/>
      <c r="O21" s="427"/>
      <c r="P21" s="427"/>
      <c r="Q21" s="427"/>
      <c r="R21" s="427">
        <v>0</v>
      </c>
    </row>
    <row r="22" spans="1:18" customFormat="1">
      <c r="A22" s="7" t="s">
        <v>189</v>
      </c>
      <c r="B22" s="427"/>
      <c r="C22" s="427"/>
      <c r="D22" s="427"/>
      <c r="E22" s="427"/>
      <c r="F22" s="427"/>
      <c r="G22" s="427"/>
      <c r="H22" s="427"/>
      <c r="I22" s="427"/>
      <c r="J22" s="427">
        <v>190223700</v>
      </c>
      <c r="K22" s="427"/>
      <c r="L22" s="427"/>
      <c r="M22" s="427"/>
      <c r="N22" s="427"/>
      <c r="O22" s="427"/>
      <c r="P22" s="427"/>
      <c r="Q22" s="427"/>
      <c r="R22" s="427">
        <v>190223700</v>
      </c>
    </row>
    <row r="23" spans="1:18" customFormat="1">
      <c r="A23" s="7" t="s">
        <v>179</v>
      </c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>
        <v>34453325</v>
      </c>
      <c r="O23" s="427"/>
      <c r="P23" s="427"/>
      <c r="Q23" s="427"/>
      <c r="R23" s="427">
        <v>34453325</v>
      </c>
    </row>
    <row r="24" spans="1:18" customFormat="1">
      <c r="A24" s="7" t="s">
        <v>195</v>
      </c>
      <c r="B24" s="427"/>
      <c r="C24" s="427"/>
      <c r="D24" s="427"/>
      <c r="E24" s="427"/>
      <c r="F24" s="427"/>
      <c r="G24" s="427"/>
      <c r="H24" s="427"/>
      <c r="I24" s="427"/>
      <c r="J24" s="427"/>
      <c r="K24" s="427"/>
      <c r="L24" s="427"/>
      <c r="M24" s="427"/>
      <c r="N24" s="427">
        <v>126897199</v>
      </c>
      <c r="O24" s="427"/>
      <c r="P24" s="427"/>
      <c r="Q24" s="427"/>
      <c r="R24" s="427">
        <v>126897199</v>
      </c>
    </row>
    <row r="25" spans="1:18" customFormat="1">
      <c r="A25" s="7" t="s">
        <v>167</v>
      </c>
      <c r="B25" s="427"/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7">
        <v>7387200</v>
      </c>
      <c r="O25" s="427"/>
      <c r="P25" s="427"/>
      <c r="Q25" s="427"/>
      <c r="R25" s="427">
        <v>7387200</v>
      </c>
    </row>
    <row r="26" spans="1:18" customFormat="1">
      <c r="A26" s="7" t="s">
        <v>185</v>
      </c>
      <c r="B26" s="427"/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7">
        <v>53728000</v>
      </c>
      <c r="O26" s="427"/>
      <c r="P26" s="427"/>
      <c r="Q26" s="427"/>
      <c r="R26" s="427">
        <v>53728000</v>
      </c>
    </row>
    <row r="27" spans="1:18" customFormat="1">
      <c r="A27" s="7" t="s">
        <v>171</v>
      </c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427"/>
      <c r="M27" s="427">
        <v>613765868</v>
      </c>
      <c r="N27" s="427"/>
      <c r="O27" s="427"/>
      <c r="P27" s="427"/>
      <c r="Q27" s="427"/>
      <c r="R27" s="427">
        <v>613765868</v>
      </c>
    </row>
    <row r="28" spans="1:18" customFormat="1">
      <c r="A28" s="7" t="s">
        <v>235</v>
      </c>
      <c r="B28" s="427"/>
      <c r="C28" s="427"/>
      <c r="D28" s="427">
        <v>0</v>
      </c>
      <c r="E28" s="427"/>
      <c r="F28" s="427"/>
      <c r="G28" s="427"/>
      <c r="H28" s="427"/>
      <c r="I28" s="427"/>
      <c r="J28" s="427"/>
      <c r="K28" s="427"/>
      <c r="L28" s="427"/>
      <c r="M28" s="427"/>
      <c r="N28" s="427">
        <v>25008333</v>
      </c>
      <c r="O28" s="427"/>
      <c r="P28" s="427"/>
      <c r="Q28" s="427"/>
      <c r="R28" s="427">
        <v>25008333</v>
      </c>
    </row>
    <row r="29" spans="1:18" customFormat="1">
      <c r="A29" s="7" t="s">
        <v>237</v>
      </c>
      <c r="B29" s="427"/>
      <c r="C29" s="427"/>
      <c r="D29" s="427"/>
      <c r="E29" s="427"/>
      <c r="F29" s="427"/>
      <c r="G29" s="427"/>
      <c r="H29" s="427"/>
      <c r="I29" s="427"/>
      <c r="J29" s="427"/>
      <c r="K29" s="427"/>
      <c r="L29" s="427">
        <v>34319600</v>
      </c>
      <c r="M29" s="427"/>
      <c r="N29" s="427">
        <v>112577250</v>
      </c>
      <c r="O29" s="427"/>
      <c r="P29" s="427"/>
      <c r="Q29" s="427"/>
      <c r="R29" s="427">
        <v>146896850</v>
      </c>
    </row>
    <row r="30" spans="1:18" customFormat="1">
      <c r="A30" s="7" t="s">
        <v>359</v>
      </c>
      <c r="B30" s="427"/>
      <c r="C30" s="427"/>
      <c r="D30" s="427">
        <v>10666666</v>
      </c>
      <c r="E30" s="427">
        <v>0</v>
      </c>
      <c r="F30" s="427">
        <v>15288859</v>
      </c>
      <c r="G30" s="427"/>
      <c r="H30" s="427"/>
      <c r="I30" s="427"/>
      <c r="J30" s="427"/>
      <c r="K30" s="427"/>
      <c r="L30" s="427"/>
      <c r="M30" s="427"/>
      <c r="N30" s="427">
        <v>45285733</v>
      </c>
      <c r="O30" s="427"/>
      <c r="P30" s="427"/>
      <c r="Q30" s="427"/>
      <c r="R30" s="427">
        <v>71241258</v>
      </c>
    </row>
    <row r="31" spans="1:18" customFormat="1">
      <c r="A31" s="7" t="s">
        <v>283</v>
      </c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>
        <v>17083329</v>
      </c>
      <c r="O31" s="427"/>
      <c r="P31" s="427"/>
      <c r="Q31" s="427"/>
      <c r="R31" s="427">
        <v>17083329</v>
      </c>
    </row>
    <row r="32" spans="1:18" customFormat="1">
      <c r="A32" s="7" t="s">
        <v>275</v>
      </c>
      <c r="B32" s="427"/>
      <c r="C32" s="427"/>
      <c r="D32" s="427">
        <v>17493333</v>
      </c>
      <c r="E32" s="427">
        <v>43686118</v>
      </c>
      <c r="F32" s="427">
        <v>55794274</v>
      </c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427"/>
      <c r="R32" s="427">
        <v>116973725</v>
      </c>
    </row>
    <row r="33" spans="1:22" s="303" customFormat="1">
      <c r="A33" s="302" t="s">
        <v>361</v>
      </c>
      <c r="B33" s="307"/>
      <c r="C33" s="307"/>
      <c r="D33" s="307"/>
      <c r="E33" s="307"/>
      <c r="F33" s="307"/>
      <c r="G33" s="307"/>
      <c r="H33" s="307"/>
      <c r="I33" s="307">
        <v>120975498</v>
      </c>
      <c r="J33" s="307"/>
      <c r="K33" s="307"/>
      <c r="L33" s="307"/>
      <c r="M33" s="307"/>
      <c r="N33" s="307"/>
      <c r="O33" s="307"/>
      <c r="P33" s="307"/>
      <c r="Q33" s="307"/>
      <c r="R33" s="307">
        <v>120975498</v>
      </c>
    </row>
    <row r="34" spans="1:22">
      <c r="A34" s="7" t="s">
        <v>379</v>
      </c>
      <c r="B34" s="427">
        <v>0</v>
      </c>
      <c r="C34" s="427"/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7"/>
      <c r="O34" s="427"/>
      <c r="P34" s="427">
        <v>141304164</v>
      </c>
      <c r="Q34" s="427"/>
      <c r="R34" s="427">
        <v>141304164</v>
      </c>
      <c r="S34"/>
      <c r="T34"/>
    </row>
    <row r="35" spans="1:22">
      <c r="A35" s="7" t="s">
        <v>197</v>
      </c>
      <c r="B35" s="427"/>
      <c r="C35" s="427"/>
      <c r="D35" s="427"/>
      <c r="E35" s="427"/>
      <c r="F35" s="427">
        <v>258872950</v>
      </c>
      <c r="G35" s="427"/>
      <c r="H35" s="427">
        <v>294197031</v>
      </c>
      <c r="I35" s="427"/>
      <c r="J35" s="427"/>
      <c r="K35" s="427"/>
      <c r="L35" s="427"/>
      <c r="M35" s="427"/>
      <c r="N35" s="427"/>
      <c r="O35" s="427"/>
      <c r="P35" s="427"/>
      <c r="Q35" s="427"/>
      <c r="R35" s="427">
        <v>553069981</v>
      </c>
      <c r="S35"/>
      <c r="T35"/>
    </row>
    <row r="36" spans="1:22">
      <c r="A36" s="7" t="s">
        <v>702</v>
      </c>
      <c r="B36" s="427"/>
      <c r="C36" s="427"/>
      <c r="D36" s="427"/>
      <c r="E36" s="427"/>
      <c r="F36" s="427"/>
      <c r="G36" s="427"/>
      <c r="H36" s="427"/>
      <c r="I36" s="427"/>
      <c r="J36" s="427"/>
      <c r="K36" s="427"/>
      <c r="L36" s="427"/>
      <c r="M36" s="427"/>
      <c r="N36" s="427"/>
      <c r="O36" s="427"/>
      <c r="P36" s="427"/>
      <c r="Q36" s="427"/>
      <c r="R36" s="427"/>
      <c r="S36"/>
      <c r="T36"/>
    </row>
    <row r="37" spans="1:22">
      <c r="A37" s="315" t="s">
        <v>703</v>
      </c>
      <c r="B37" s="292">
        <v>0</v>
      </c>
      <c r="C37" s="292">
        <v>0</v>
      </c>
      <c r="D37" s="292">
        <v>203096405</v>
      </c>
      <c r="E37" s="292">
        <v>260152101</v>
      </c>
      <c r="F37" s="292">
        <v>329956083</v>
      </c>
      <c r="G37" s="292">
        <v>0</v>
      </c>
      <c r="H37" s="292">
        <v>2466597834</v>
      </c>
      <c r="I37" s="292">
        <v>1081273527</v>
      </c>
      <c r="J37" s="292">
        <v>190223700</v>
      </c>
      <c r="K37" s="292">
        <v>368040220</v>
      </c>
      <c r="L37" s="292">
        <v>34319600</v>
      </c>
      <c r="M37" s="292">
        <v>613765868</v>
      </c>
      <c r="N37" s="292">
        <v>422420369</v>
      </c>
      <c r="O37" s="292">
        <v>194670102</v>
      </c>
      <c r="P37" s="292">
        <v>1119391474</v>
      </c>
      <c r="Q37" s="292"/>
      <c r="R37" s="292">
        <v>7283907283</v>
      </c>
      <c r="S37" s="217"/>
      <c r="T37" s="217"/>
      <c r="U37" s="217"/>
      <c r="V37" s="217"/>
    </row>
    <row r="38" spans="1:22">
      <c r="A38" s="29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22">
      <c r="A39" s="29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C471"/>
  <sheetViews>
    <sheetView showGridLines="0" topLeftCell="S1" workbookViewId="0">
      <pane ySplit="1" topLeftCell="A189" activePane="bottomLeft" state="frozen"/>
      <selection pane="bottomLeft" activeCell="S2" sqref="S2:AC214"/>
    </sheetView>
  </sheetViews>
  <sheetFormatPr baseColWidth="10" defaultColWidth="11.44140625" defaultRowHeight="14.4"/>
  <cols>
    <col min="1" max="1" width="21.44140625" customWidth="1"/>
    <col min="2" max="3" width="17.109375" customWidth="1"/>
    <col min="4" max="4" width="21.44140625" customWidth="1"/>
    <col min="5" max="5" width="35.5546875" customWidth="1"/>
    <col min="6" max="6" width="21.44140625" customWidth="1"/>
    <col min="7" max="7" width="52.33203125" customWidth="1"/>
    <col min="8" max="8" width="35.33203125" customWidth="1"/>
    <col min="9" max="10" width="17.109375" customWidth="1"/>
    <col min="11" max="11" width="8.33203125" customWidth="1"/>
    <col min="12" max="12" width="26.109375" customWidth="1"/>
    <col min="13" max="13" width="17.109375" customWidth="1"/>
    <col min="14" max="16" width="20.6640625" style="3" customWidth="1"/>
    <col min="17" max="17" width="22.5546875" style="3" customWidth="1"/>
    <col min="18" max="18" width="19.44140625" style="3" customWidth="1"/>
    <col min="19" max="19" width="23.33203125" style="3" customWidth="1"/>
    <col min="20" max="20" width="22.33203125" style="3" customWidth="1"/>
    <col min="21" max="21" width="22.88671875" style="3" customWidth="1"/>
    <col min="22" max="25" width="20.33203125" style="3" customWidth="1"/>
    <col min="26" max="26" width="45.6640625" style="3" customWidth="1"/>
    <col min="27" max="27" width="20.5546875" style="3" customWidth="1"/>
    <col min="28" max="28" width="19.44140625" customWidth="1"/>
    <col min="29" max="29" width="16" customWidth="1"/>
  </cols>
  <sheetData>
    <row r="1" spans="1:29" s="251" customFormat="1" ht="27.6">
      <c r="A1" s="4" t="s">
        <v>128</v>
      </c>
      <c r="B1" s="4" t="s">
        <v>129</v>
      </c>
      <c r="C1" s="4" t="s">
        <v>130</v>
      </c>
      <c r="D1" s="4" t="s">
        <v>131</v>
      </c>
      <c r="E1" s="4" t="s">
        <v>132</v>
      </c>
      <c r="F1" s="4" t="s">
        <v>133</v>
      </c>
      <c r="G1" s="4" t="s">
        <v>134</v>
      </c>
      <c r="H1" s="4" t="s">
        <v>135</v>
      </c>
      <c r="I1" s="4" t="s">
        <v>21</v>
      </c>
      <c r="J1" s="4" t="s">
        <v>18</v>
      </c>
      <c r="K1" s="4" t="s">
        <v>19</v>
      </c>
      <c r="L1" s="4" t="s">
        <v>136</v>
      </c>
      <c r="M1" s="4" t="s">
        <v>20</v>
      </c>
      <c r="N1" s="5" t="s">
        <v>137</v>
      </c>
      <c r="O1" s="5" t="s">
        <v>138</v>
      </c>
      <c r="P1" s="5" t="s">
        <v>139</v>
      </c>
      <c r="Q1" s="5" t="s">
        <v>140</v>
      </c>
      <c r="R1" s="5" t="s">
        <v>141</v>
      </c>
      <c r="S1" s="5" t="s">
        <v>142</v>
      </c>
      <c r="T1" s="5" t="s">
        <v>27</v>
      </c>
      <c r="U1" s="5" t="s">
        <v>143</v>
      </c>
      <c r="V1" s="5" t="s">
        <v>29</v>
      </c>
      <c r="W1" s="5" t="s">
        <v>30</v>
      </c>
      <c r="X1" s="5" t="s">
        <v>31</v>
      </c>
      <c r="Y1" s="5" t="s">
        <v>144</v>
      </c>
      <c r="Z1" s="5" t="s">
        <v>145</v>
      </c>
      <c r="AA1" s="5" t="s">
        <v>146</v>
      </c>
      <c r="AB1" s="250" t="s">
        <v>147</v>
      </c>
      <c r="AC1" s="250" t="s">
        <v>148</v>
      </c>
    </row>
    <row r="2" spans="1:29" s="290" customFormat="1" ht="21" customHeight="1">
      <c r="A2" s="287" t="s">
        <v>149</v>
      </c>
      <c r="B2" s="288">
        <v>2024</v>
      </c>
      <c r="C2" s="287" t="s">
        <v>3</v>
      </c>
      <c r="D2" s="287" t="s">
        <v>33</v>
      </c>
      <c r="E2" s="287" t="s">
        <v>116</v>
      </c>
      <c r="F2" s="287" t="s">
        <v>150</v>
      </c>
      <c r="G2" s="287" t="s">
        <v>151</v>
      </c>
      <c r="H2" s="287" t="s">
        <v>96</v>
      </c>
      <c r="I2" s="287" t="s">
        <v>99</v>
      </c>
      <c r="J2" s="287" t="s">
        <v>38</v>
      </c>
      <c r="K2" s="287" t="s">
        <v>39</v>
      </c>
      <c r="L2" s="287" t="s">
        <v>152</v>
      </c>
      <c r="M2" s="287" t="s">
        <v>40</v>
      </c>
      <c r="N2" s="289">
        <v>30000000000</v>
      </c>
      <c r="O2" s="289"/>
      <c r="P2" s="289"/>
      <c r="Q2" s="289">
        <v>0</v>
      </c>
      <c r="R2" s="289">
        <v>0</v>
      </c>
      <c r="S2" s="289">
        <v>30000000000</v>
      </c>
      <c r="T2" s="289">
        <v>0</v>
      </c>
      <c r="U2" s="289">
        <v>0</v>
      </c>
      <c r="V2" s="289">
        <v>0</v>
      </c>
      <c r="W2" s="289">
        <v>0</v>
      </c>
      <c r="X2" s="289">
        <v>0</v>
      </c>
      <c r="Y2" s="289">
        <v>0</v>
      </c>
      <c r="Z2" s="289">
        <v>0</v>
      </c>
      <c r="AA2" s="289">
        <v>0</v>
      </c>
      <c r="AB2" s="290" t="str">
        <f t="shared" ref="AB2:AB6" si="0">LEFT(H2,14)</f>
        <v>C-0301-1000-31</v>
      </c>
      <c r="AC2" s="290" t="str">
        <f t="shared" ref="AC2:AC7" si="1">LEFT(H2,1)</f>
        <v>C</v>
      </c>
    </row>
    <row r="3" spans="1:29" s="290" customFormat="1" ht="21" customHeight="1">
      <c r="A3" s="287" t="s">
        <v>153</v>
      </c>
      <c r="B3" s="288">
        <v>2024</v>
      </c>
      <c r="C3" s="287" t="s">
        <v>3</v>
      </c>
      <c r="D3" s="287" t="s">
        <v>33</v>
      </c>
      <c r="E3" s="287" t="s">
        <v>116</v>
      </c>
      <c r="F3" s="287" t="s">
        <v>150</v>
      </c>
      <c r="G3" s="287" t="s">
        <v>151</v>
      </c>
      <c r="H3" s="287" t="s">
        <v>82</v>
      </c>
      <c r="I3" s="287" t="s">
        <v>81</v>
      </c>
      <c r="J3" s="287" t="s">
        <v>38</v>
      </c>
      <c r="K3" s="287" t="s">
        <v>84</v>
      </c>
      <c r="L3" s="287" t="s">
        <v>152</v>
      </c>
      <c r="M3" s="287" t="s">
        <v>40</v>
      </c>
      <c r="N3" s="289">
        <v>8000000000</v>
      </c>
      <c r="O3" s="289"/>
      <c r="P3" s="289"/>
      <c r="Q3" s="289">
        <v>0</v>
      </c>
      <c r="R3" s="289">
        <v>0</v>
      </c>
      <c r="S3" s="289">
        <v>8000000000</v>
      </c>
      <c r="T3" s="289">
        <v>0</v>
      </c>
      <c r="U3" s="289">
        <v>8000000000</v>
      </c>
      <c r="V3" s="289">
        <v>0</v>
      </c>
      <c r="W3" s="289">
        <v>0</v>
      </c>
      <c r="X3" s="289">
        <v>0</v>
      </c>
      <c r="Y3" s="289">
        <v>0</v>
      </c>
      <c r="Z3" s="289">
        <v>0</v>
      </c>
      <c r="AA3" s="289">
        <v>0</v>
      </c>
      <c r="AB3" s="290" t="str">
        <f t="shared" si="0"/>
        <v>C-0301-1000-20</v>
      </c>
      <c r="AC3" s="290" t="str">
        <f t="shared" si="1"/>
        <v>C</v>
      </c>
    </row>
    <row r="4" spans="1:29" s="290" customFormat="1" ht="21" customHeight="1">
      <c r="A4" s="287" t="s">
        <v>708</v>
      </c>
      <c r="B4" s="288">
        <v>2024</v>
      </c>
      <c r="C4" s="287" t="s">
        <v>3</v>
      </c>
      <c r="D4" s="287" t="s">
        <v>33</v>
      </c>
      <c r="E4" s="287" t="s">
        <v>116</v>
      </c>
      <c r="F4" s="287" t="s">
        <v>150</v>
      </c>
      <c r="G4" s="287" t="s">
        <v>151</v>
      </c>
      <c r="H4" s="287" t="s">
        <v>75</v>
      </c>
      <c r="I4" s="287" t="s">
        <v>81</v>
      </c>
      <c r="J4" s="287" t="s">
        <v>38</v>
      </c>
      <c r="K4" s="287" t="s">
        <v>39</v>
      </c>
      <c r="L4" s="287" t="s">
        <v>152</v>
      </c>
      <c r="M4" s="287" t="s">
        <v>40</v>
      </c>
      <c r="N4" s="289">
        <v>4100000000</v>
      </c>
      <c r="O4" s="289"/>
      <c r="P4" s="289"/>
      <c r="Q4" s="289">
        <v>0</v>
      </c>
      <c r="R4" s="289">
        <v>0</v>
      </c>
      <c r="S4" s="289">
        <v>4100000000</v>
      </c>
      <c r="T4" s="289">
        <v>4100000000</v>
      </c>
      <c r="U4" s="289">
        <v>0</v>
      </c>
      <c r="V4" s="289">
        <v>0</v>
      </c>
      <c r="W4" s="289">
        <v>0</v>
      </c>
      <c r="X4" s="289">
        <v>0</v>
      </c>
      <c r="Y4" s="289">
        <v>0</v>
      </c>
      <c r="Z4" s="289">
        <v>0</v>
      </c>
      <c r="AA4" s="289">
        <v>0</v>
      </c>
      <c r="AB4" s="290" t="str">
        <f t="shared" si="0"/>
        <v>C-0301-1000-18</v>
      </c>
      <c r="AC4" s="290" t="str">
        <f t="shared" si="1"/>
        <v>C</v>
      </c>
    </row>
    <row r="5" spans="1:29" s="290" customFormat="1" ht="21" hidden="1" customHeight="1">
      <c r="A5" s="287" t="s">
        <v>708</v>
      </c>
      <c r="B5" s="288">
        <v>2024</v>
      </c>
      <c r="C5" s="287" t="s">
        <v>3</v>
      </c>
      <c r="D5" s="287" t="s">
        <v>154</v>
      </c>
      <c r="E5" s="287" t="s">
        <v>151</v>
      </c>
      <c r="F5" s="287" t="s">
        <v>155</v>
      </c>
      <c r="G5" s="287" t="s">
        <v>156</v>
      </c>
      <c r="H5" s="287" t="s">
        <v>157</v>
      </c>
      <c r="I5" s="287" t="s">
        <v>158</v>
      </c>
      <c r="J5" s="287" t="s">
        <v>38</v>
      </c>
      <c r="K5" s="287" t="s">
        <v>39</v>
      </c>
      <c r="L5" s="287" t="s">
        <v>152</v>
      </c>
      <c r="M5" s="287" t="s">
        <v>40</v>
      </c>
      <c r="N5" s="289">
        <v>443720088</v>
      </c>
      <c r="O5" s="289"/>
      <c r="P5" s="289"/>
      <c r="Q5" s="289">
        <v>0</v>
      </c>
      <c r="R5" s="289">
        <v>0</v>
      </c>
      <c r="S5" s="289">
        <v>443720088</v>
      </c>
      <c r="T5" s="289">
        <v>432105408</v>
      </c>
      <c r="U5" s="289">
        <v>11614680</v>
      </c>
      <c r="V5" s="289">
        <v>432105408</v>
      </c>
      <c r="W5" s="289">
        <v>47377008</v>
      </c>
      <c r="X5" s="289">
        <v>47377008</v>
      </c>
      <c r="Y5" s="289">
        <v>47377008</v>
      </c>
      <c r="Z5" s="289">
        <v>0</v>
      </c>
      <c r="AA5" s="289">
        <v>0</v>
      </c>
      <c r="AB5" s="290" t="str">
        <f t="shared" si="0"/>
        <v>A-02-02-02-008</v>
      </c>
      <c r="AC5" s="290" t="str">
        <f t="shared" si="1"/>
        <v>A</v>
      </c>
    </row>
    <row r="6" spans="1:29" s="290" customFormat="1" ht="21" hidden="1" customHeight="1">
      <c r="A6" s="287" t="s">
        <v>708</v>
      </c>
      <c r="B6" s="288">
        <v>2024</v>
      </c>
      <c r="C6" s="287" t="s">
        <v>3</v>
      </c>
      <c r="D6" s="287" t="s">
        <v>154</v>
      </c>
      <c r="E6" s="287" t="s">
        <v>151</v>
      </c>
      <c r="F6" s="287" t="s">
        <v>155</v>
      </c>
      <c r="G6" s="287" t="s">
        <v>156</v>
      </c>
      <c r="H6" s="287" t="s">
        <v>159</v>
      </c>
      <c r="I6" s="287" t="s">
        <v>160</v>
      </c>
      <c r="J6" s="287" t="s">
        <v>38</v>
      </c>
      <c r="K6" s="287" t="s">
        <v>39</v>
      </c>
      <c r="L6" s="287" t="s">
        <v>152</v>
      </c>
      <c r="M6" s="287" t="s">
        <v>40</v>
      </c>
      <c r="N6" s="289">
        <v>439929858</v>
      </c>
      <c r="O6" s="289"/>
      <c r="P6" s="289"/>
      <c r="Q6" s="289">
        <v>0</v>
      </c>
      <c r="R6" s="289">
        <v>0</v>
      </c>
      <c r="S6" s="289">
        <v>439929858</v>
      </c>
      <c r="T6" s="289">
        <v>421735680</v>
      </c>
      <c r="U6" s="289">
        <v>18194178</v>
      </c>
      <c r="V6" s="289">
        <v>421735680</v>
      </c>
      <c r="W6" s="289">
        <v>50388480</v>
      </c>
      <c r="X6" s="289">
        <v>50388480</v>
      </c>
      <c r="Y6" s="289">
        <v>50388480</v>
      </c>
      <c r="Z6" s="289">
        <v>0</v>
      </c>
      <c r="AA6" s="289">
        <v>0</v>
      </c>
      <c r="AB6" s="290" t="str">
        <f t="shared" si="0"/>
        <v>A-02-02-02-008</v>
      </c>
      <c r="AC6" s="290" t="str">
        <f t="shared" si="1"/>
        <v>A</v>
      </c>
    </row>
    <row r="7" spans="1:29" s="290" customFormat="1" ht="21" hidden="1" customHeight="1">
      <c r="A7" s="287" t="s">
        <v>708</v>
      </c>
      <c r="B7" s="288">
        <v>2024</v>
      </c>
      <c r="C7" s="287" t="s">
        <v>3</v>
      </c>
      <c r="D7" s="287" t="s">
        <v>154</v>
      </c>
      <c r="E7" s="287" t="s">
        <v>151</v>
      </c>
      <c r="F7" s="287" t="s">
        <v>155</v>
      </c>
      <c r="G7" s="287" t="s">
        <v>156</v>
      </c>
      <c r="H7" s="287" t="s">
        <v>161</v>
      </c>
      <c r="I7" s="287" t="s">
        <v>162</v>
      </c>
      <c r="J7" s="287" t="s">
        <v>38</v>
      </c>
      <c r="K7" s="287" t="s">
        <v>39</v>
      </c>
      <c r="L7" s="287" t="s">
        <v>152</v>
      </c>
      <c r="M7" s="287" t="s">
        <v>40</v>
      </c>
      <c r="N7" s="289">
        <v>1007500000</v>
      </c>
      <c r="O7" s="289">
        <v>0</v>
      </c>
      <c r="P7" s="289">
        <v>200000000</v>
      </c>
      <c r="Q7" s="289">
        <v>0</v>
      </c>
      <c r="R7" s="289">
        <v>0</v>
      </c>
      <c r="S7" s="289">
        <v>807500000</v>
      </c>
      <c r="T7" s="289">
        <v>807500000</v>
      </c>
      <c r="U7" s="289">
        <v>0</v>
      </c>
      <c r="V7" s="289">
        <v>0</v>
      </c>
      <c r="W7" s="289">
        <v>0</v>
      </c>
      <c r="X7" s="289">
        <v>0</v>
      </c>
      <c r="Y7" s="289">
        <v>0</v>
      </c>
      <c r="Z7" s="289">
        <v>0</v>
      </c>
      <c r="AA7" s="289">
        <v>0</v>
      </c>
      <c r="AB7" s="290" t="str">
        <f t="shared" ref="AB7" si="2">LEFT(H7,14)</f>
        <v>A-02-02-02-008</v>
      </c>
      <c r="AC7" s="290" t="str">
        <f t="shared" si="1"/>
        <v>A</v>
      </c>
    </row>
    <row r="8" spans="1:29" ht="21" customHeight="1">
      <c r="A8" s="78" t="s">
        <v>708</v>
      </c>
      <c r="B8" s="79">
        <v>2024</v>
      </c>
      <c r="C8" s="78" t="s">
        <v>3</v>
      </c>
      <c r="D8" s="78" t="s">
        <v>154</v>
      </c>
      <c r="E8" s="78" t="s">
        <v>151</v>
      </c>
      <c r="F8" s="78" t="s">
        <v>155</v>
      </c>
      <c r="G8" s="78" t="s">
        <v>156</v>
      </c>
      <c r="H8" s="78" t="s">
        <v>163</v>
      </c>
      <c r="I8" s="78" t="s">
        <v>164</v>
      </c>
      <c r="J8" s="78" t="s">
        <v>38</v>
      </c>
      <c r="K8" s="78" t="s">
        <v>72</v>
      </c>
      <c r="L8" s="78" t="s">
        <v>165</v>
      </c>
      <c r="M8" s="78" t="s">
        <v>40</v>
      </c>
      <c r="N8" s="81">
        <v>200000000</v>
      </c>
      <c r="O8" s="81"/>
      <c r="P8" s="81"/>
      <c r="Q8" s="81">
        <v>0</v>
      </c>
      <c r="R8" s="81">
        <v>0</v>
      </c>
      <c r="S8" s="81">
        <v>200000000</v>
      </c>
      <c r="T8" s="81">
        <v>200000000</v>
      </c>
      <c r="U8" s="81">
        <v>0</v>
      </c>
      <c r="V8" s="81">
        <v>0</v>
      </c>
      <c r="W8" s="81">
        <v>0</v>
      </c>
      <c r="X8" s="81">
        <v>0</v>
      </c>
      <c r="Y8" s="81">
        <v>0</v>
      </c>
      <c r="Z8" s="81">
        <v>0</v>
      </c>
      <c r="AA8" s="81">
        <v>0</v>
      </c>
      <c r="AB8" t="str">
        <f t="shared" ref="AB8:AB69" si="3">LEFT(H8,14)</f>
        <v>C-0301-1000-35</v>
      </c>
      <c r="AC8" t="str">
        <f t="shared" ref="AC8:AC69" si="4">LEFT(H8,1)</f>
        <v>C</v>
      </c>
    </row>
    <row r="9" spans="1:29" ht="21" hidden="1" customHeight="1">
      <c r="A9" s="78" t="s">
        <v>708</v>
      </c>
      <c r="B9" s="79">
        <v>2024</v>
      </c>
      <c r="C9" s="78" t="s">
        <v>3</v>
      </c>
      <c r="D9" s="78" t="s">
        <v>154</v>
      </c>
      <c r="E9" s="78" t="s">
        <v>151</v>
      </c>
      <c r="F9" s="78" t="s">
        <v>166</v>
      </c>
      <c r="G9" s="78" t="s">
        <v>167</v>
      </c>
      <c r="H9" s="78" t="s">
        <v>157</v>
      </c>
      <c r="I9" s="78" t="s">
        <v>158</v>
      </c>
      <c r="J9" s="78" t="s">
        <v>38</v>
      </c>
      <c r="K9" s="78" t="s">
        <v>39</v>
      </c>
      <c r="L9" s="78" t="s">
        <v>152</v>
      </c>
      <c r="M9" s="78" t="s">
        <v>40</v>
      </c>
      <c r="N9" s="81">
        <v>2399783321</v>
      </c>
      <c r="O9" s="81"/>
      <c r="P9" s="81"/>
      <c r="Q9" s="81">
        <v>0</v>
      </c>
      <c r="R9" s="81">
        <v>0</v>
      </c>
      <c r="S9" s="81">
        <v>2399783321</v>
      </c>
      <c r="T9" s="81">
        <v>2162343000</v>
      </c>
      <c r="U9" s="81">
        <v>237440321</v>
      </c>
      <c r="V9" s="81">
        <v>2078696400</v>
      </c>
      <c r="W9" s="81">
        <v>206749900</v>
      </c>
      <c r="X9" s="81">
        <v>206749900</v>
      </c>
      <c r="Y9" s="81">
        <v>170827900</v>
      </c>
      <c r="Z9" s="81">
        <v>0</v>
      </c>
      <c r="AA9" s="81">
        <v>0</v>
      </c>
      <c r="AB9" t="str">
        <f t="shared" si="3"/>
        <v>A-02-02-02-008</v>
      </c>
      <c r="AC9" t="str">
        <f t="shared" si="4"/>
        <v>A</v>
      </c>
    </row>
    <row r="10" spans="1:29" ht="21" hidden="1" customHeight="1">
      <c r="A10" s="78" t="s">
        <v>708</v>
      </c>
      <c r="B10" s="79">
        <v>2024</v>
      </c>
      <c r="C10" s="78" t="s">
        <v>3</v>
      </c>
      <c r="D10" s="78" t="s">
        <v>154</v>
      </c>
      <c r="E10" s="78" t="s">
        <v>151</v>
      </c>
      <c r="F10" s="78" t="s">
        <v>166</v>
      </c>
      <c r="G10" s="78" t="s">
        <v>167</v>
      </c>
      <c r="H10" s="78" t="s">
        <v>159</v>
      </c>
      <c r="I10" s="78" t="s">
        <v>160</v>
      </c>
      <c r="J10" s="78" t="s">
        <v>38</v>
      </c>
      <c r="K10" s="78" t="s">
        <v>39</v>
      </c>
      <c r="L10" s="78" t="s">
        <v>152</v>
      </c>
      <c r="M10" s="78" t="s">
        <v>40</v>
      </c>
      <c r="N10" s="81">
        <v>131788800</v>
      </c>
      <c r="O10" s="81"/>
      <c r="P10" s="81"/>
      <c r="Q10" s="81">
        <v>0</v>
      </c>
      <c r="R10" s="81">
        <v>0</v>
      </c>
      <c r="S10" s="81">
        <v>131788800</v>
      </c>
      <c r="T10" s="81">
        <v>131788800</v>
      </c>
      <c r="U10" s="81">
        <v>0</v>
      </c>
      <c r="V10" s="81">
        <v>131788800</v>
      </c>
      <c r="W10" s="81">
        <v>18720000</v>
      </c>
      <c r="X10" s="81">
        <v>18720000</v>
      </c>
      <c r="Y10" s="81">
        <v>18720000</v>
      </c>
      <c r="Z10" s="81">
        <v>0</v>
      </c>
      <c r="AA10" s="81">
        <v>0</v>
      </c>
      <c r="AB10" t="str">
        <f t="shared" si="3"/>
        <v>A-02-02-02-008</v>
      </c>
      <c r="AC10" t="str">
        <f t="shared" si="4"/>
        <v>A</v>
      </c>
    </row>
    <row r="11" spans="1:29" ht="21" customHeight="1">
      <c r="A11" s="78" t="s">
        <v>708</v>
      </c>
      <c r="B11" s="79">
        <v>2024</v>
      </c>
      <c r="C11" s="78" t="s">
        <v>3</v>
      </c>
      <c r="D11" s="78" t="s">
        <v>154</v>
      </c>
      <c r="E11" s="78" t="s">
        <v>151</v>
      </c>
      <c r="F11" s="78" t="s">
        <v>166</v>
      </c>
      <c r="G11" s="78" t="s">
        <v>167</v>
      </c>
      <c r="H11" s="78" t="s">
        <v>168</v>
      </c>
      <c r="I11" s="78" t="s">
        <v>169</v>
      </c>
      <c r="J11" s="78" t="s">
        <v>38</v>
      </c>
      <c r="K11" s="78" t="s">
        <v>72</v>
      </c>
      <c r="L11" s="78" t="s">
        <v>165</v>
      </c>
      <c r="M11" s="78" t="s">
        <v>40</v>
      </c>
      <c r="N11" s="81">
        <v>494748000</v>
      </c>
      <c r="O11" s="81"/>
      <c r="P11" s="81"/>
      <c r="Q11" s="81">
        <v>0</v>
      </c>
      <c r="R11" s="81">
        <v>0</v>
      </c>
      <c r="S11" s="81">
        <v>494748000</v>
      </c>
      <c r="T11" s="81">
        <v>417060000</v>
      </c>
      <c r="U11" s="81">
        <v>77688000</v>
      </c>
      <c r="V11" s="81">
        <v>65901600</v>
      </c>
      <c r="W11" s="81">
        <v>7387200</v>
      </c>
      <c r="X11" s="81">
        <v>7387200</v>
      </c>
      <c r="Y11" s="81">
        <v>7387200</v>
      </c>
      <c r="Z11" s="81">
        <v>0</v>
      </c>
      <c r="AA11" s="81">
        <v>0</v>
      </c>
      <c r="AB11" t="str">
        <f t="shared" si="3"/>
        <v>C-0399-1000-9-</v>
      </c>
      <c r="AC11" t="str">
        <f t="shared" si="4"/>
        <v>C</v>
      </c>
    </row>
    <row r="12" spans="1:29" ht="21" hidden="1" customHeight="1">
      <c r="A12" s="78" t="s">
        <v>708</v>
      </c>
      <c r="B12" s="79">
        <v>2024</v>
      </c>
      <c r="C12" s="78" t="s">
        <v>3</v>
      </c>
      <c r="D12" s="78" t="s">
        <v>154</v>
      </c>
      <c r="E12" s="78" t="s">
        <v>151</v>
      </c>
      <c r="F12" s="78" t="s">
        <v>170</v>
      </c>
      <c r="G12" s="78" t="s">
        <v>171</v>
      </c>
      <c r="H12" s="78" t="s">
        <v>157</v>
      </c>
      <c r="I12" s="78" t="s">
        <v>158</v>
      </c>
      <c r="J12" s="78" t="s">
        <v>38</v>
      </c>
      <c r="K12" s="78" t="s">
        <v>39</v>
      </c>
      <c r="L12" s="78" t="s">
        <v>152</v>
      </c>
      <c r="M12" s="78" t="s">
        <v>40</v>
      </c>
      <c r="N12" s="81">
        <v>133070000</v>
      </c>
      <c r="O12" s="81"/>
      <c r="P12" s="81"/>
      <c r="Q12" s="81">
        <v>0</v>
      </c>
      <c r="R12" s="81">
        <v>0</v>
      </c>
      <c r="S12" s="81">
        <v>133070000</v>
      </c>
      <c r="T12" s="81">
        <v>133070000</v>
      </c>
      <c r="U12" s="81">
        <v>0</v>
      </c>
      <c r="V12" s="81">
        <v>133069343</v>
      </c>
      <c r="W12" s="81">
        <v>10008009</v>
      </c>
      <c r="X12" s="81">
        <v>10008009</v>
      </c>
      <c r="Y12" s="81">
        <v>10008009</v>
      </c>
      <c r="Z12" s="81">
        <v>0</v>
      </c>
      <c r="AA12" s="81">
        <v>0</v>
      </c>
      <c r="AB12" t="str">
        <f t="shared" si="3"/>
        <v>A-02-02-02-008</v>
      </c>
      <c r="AC12" t="str">
        <f t="shared" si="4"/>
        <v>A</v>
      </c>
    </row>
    <row r="13" spans="1:29" ht="21" customHeight="1">
      <c r="A13" s="78" t="s">
        <v>708</v>
      </c>
      <c r="B13" s="79">
        <v>2024</v>
      </c>
      <c r="C13" s="78" t="s">
        <v>3</v>
      </c>
      <c r="D13" s="78" t="s">
        <v>154</v>
      </c>
      <c r="E13" s="78" t="s">
        <v>151</v>
      </c>
      <c r="F13" s="78" t="s">
        <v>170</v>
      </c>
      <c r="G13" s="78" t="s">
        <v>171</v>
      </c>
      <c r="H13" s="78" t="s">
        <v>172</v>
      </c>
      <c r="I13" s="78" t="s">
        <v>173</v>
      </c>
      <c r="J13" s="78" t="s">
        <v>38</v>
      </c>
      <c r="K13" s="78" t="s">
        <v>72</v>
      </c>
      <c r="L13" s="78" t="s">
        <v>165</v>
      </c>
      <c r="M13" s="78" t="s">
        <v>40</v>
      </c>
      <c r="N13" s="81">
        <v>1762311982</v>
      </c>
      <c r="O13" s="81"/>
      <c r="P13" s="81"/>
      <c r="Q13" s="81">
        <v>0</v>
      </c>
      <c r="R13" s="81">
        <v>0</v>
      </c>
      <c r="S13" s="81">
        <v>1762311982</v>
      </c>
      <c r="T13" s="81">
        <v>1762311982</v>
      </c>
      <c r="U13" s="81">
        <v>0</v>
      </c>
      <c r="V13" s="81">
        <v>1082080282</v>
      </c>
      <c r="W13" s="81">
        <v>76288639</v>
      </c>
      <c r="X13" s="81">
        <v>76288639</v>
      </c>
      <c r="Y13" s="81">
        <v>73432642</v>
      </c>
      <c r="Z13" s="81">
        <v>0</v>
      </c>
      <c r="AA13" s="81">
        <v>0</v>
      </c>
      <c r="AB13" t="str">
        <f t="shared" si="3"/>
        <v>C-0399-1000-8-</v>
      </c>
      <c r="AC13" t="str">
        <f t="shared" si="4"/>
        <v>C</v>
      </c>
    </row>
    <row r="14" spans="1:29" ht="21" customHeight="1">
      <c r="A14" s="78" t="s">
        <v>708</v>
      </c>
      <c r="B14" s="79">
        <v>2024</v>
      </c>
      <c r="C14" s="78" t="s">
        <v>3</v>
      </c>
      <c r="D14" s="78" t="s">
        <v>154</v>
      </c>
      <c r="E14" s="78" t="s">
        <v>151</v>
      </c>
      <c r="F14" s="78" t="s">
        <v>170</v>
      </c>
      <c r="G14" s="78" t="s">
        <v>171</v>
      </c>
      <c r="H14" s="78" t="s">
        <v>174</v>
      </c>
      <c r="I14" s="78" t="s">
        <v>175</v>
      </c>
      <c r="J14" s="78" t="s">
        <v>38</v>
      </c>
      <c r="K14" s="78" t="s">
        <v>72</v>
      </c>
      <c r="L14" s="78" t="s">
        <v>165</v>
      </c>
      <c r="M14" s="78" t="s">
        <v>40</v>
      </c>
      <c r="N14" s="81">
        <v>500856000</v>
      </c>
      <c r="O14" s="81"/>
      <c r="P14" s="81"/>
      <c r="Q14" s="81">
        <v>0</v>
      </c>
      <c r="R14" s="81">
        <v>0</v>
      </c>
      <c r="S14" s="81">
        <v>500856000</v>
      </c>
      <c r="T14" s="81">
        <v>500856000</v>
      </c>
      <c r="U14" s="81">
        <v>0</v>
      </c>
      <c r="V14" s="81">
        <v>496777997</v>
      </c>
      <c r="W14" s="81">
        <v>45047994</v>
      </c>
      <c r="X14" s="81">
        <v>45047994</v>
      </c>
      <c r="Y14" s="81">
        <v>45047994</v>
      </c>
      <c r="Z14" s="81">
        <v>0</v>
      </c>
      <c r="AA14" s="81">
        <v>0</v>
      </c>
      <c r="AB14" t="str">
        <f t="shared" si="3"/>
        <v>C-0399-1000-8-</v>
      </c>
      <c r="AC14" t="str">
        <f t="shared" si="4"/>
        <v>C</v>
      </c>
    </row>
    <row r="15" spans="1:29" ht="21" customHeight="1">
      <c r="A15" s="78" t="s">
        <v>708</v>
      </c>
      <c r="B15" s="79">
        <v>2024</v>
      </c>
      <c r="C15" s="78" t="s">
        <v>3</v>
      </c>
      <c r="D15" s="78" t="s">
        <v>154</v>
      </c>
      <c r="E15" s="78" t="s">
        <v>151</v>
      </c>
      <c r="F15" s="78" t="s">
        <v>170</v>
      </c>
      <c r="G15" s="78" t="s">
        <v>171</v>
      </c>
      <c r="H15" s="78" t="s">
        <v>176</v>
      </c>
      <c r="I15" s="78" t="s">
        <v>177</v>
      </c>
      <c r="J15" s="78" t="s">
        <v>38</v>
      </c>
      <c r="K15" s="78" t="s">
        <v>72</v>
      </c>
      <c r="L15" s="78" t="s">
        <v>165</v>
      </c>
      <c r="M15" s="78" t="s">
        <v>40</v>
      </c>
      <c r="N15" s="81">
        <v>50736832018</v>
      </c>
      <c r="O15" s="81"/>
      <c r="P15" s="81"/>
      <c r="Q15" s="81">
        <v>0</v>
      </c>
      <c r="R15" s="81">
        <v>0</v>
      </c>
      <c r="S15" s="81">
        <v>50736832018</v>
      </c>
      <c r="T15" s="81">
        <v>10344113260.280001</v>
      </c>
      <c r="U15" s="81">
        <v>40392718757.720001</v>
      </c>
      <c r="V15" s="81">
        <v>4602713729.2799997</v>
      </c>
      <c r="W15" s="81">
        <v>492429235</v>
      </c>
      <c r="X15" s="81">
        <v>489509235</v>
      </c>
      <c r="Y15" s="81">
        <v>213757747</v>
      </c>
      <c r="Z15" s="81">
        <v>0</v>
      </c>
      <c r="AA15" s="81">
        <v>0</v>
      </c>
      <c r="AB15" t="str">
        <f t="shared" si="3"/>
        <v>C-0399-1000-8-</v>
      </c>
      <c r="AC15" t="str">
        <f t="shared" si="4"/>
        <v>C</v>
      </c>
    </row>
    <row r="16" spans="1:29" ht="21" hidden="1" customHeight="1">
      <c r="A16" s="78" t="s">
        <v>708</v>
      </c>
      <c r="B16" s="79">
        <v>2024</v>
      </c>
      <c r="C16" s="78" t="s">
        <v>3</v>
      </c>
      <c r="D16" s="78" t="s">
        <v>154</v>
      </c>
      <c r="E16" s="78" t="s">
        <v>151</v>
      </c>
      <c r="F16" s="78" t="s">
        <v>178</v>
      </c>
      <c r="G16" s="78" t="s">
        <v>179</v>
      </c>
      <c r="H16" s="78" t="s">
        <v>180</v>
      </c>
      <c r="I16" s="78" t="s">
        <v>181</v>
      </c>
      <c r="J16" s="78" t="s">
        <v>38</v>
      </c>
      <c r="K16" s="78" t="s">
        <v>39</v>
      </c>
      <c r="L16" s="78" t="s">
        <v>152</v>
      </c>
      <c r="M16" s="78" t="s">
        <v>40</v>
      </c>
      <c r="N16" s="81">
        <v>130000000</v>
      </c>
      <c r="O16" s="81"/>
      <c r="P16" s="81"/>
      <c r="Q16" s="81">
        <v>0</v>
      </c>
      <c r="R16" s="81">
        <v>0</v>
      </c>
      <c r="S16" s="81">
        <v>130000000</v>
      </c>
      <c r="T16" s="81">
        <v>0</v>
      </c>
      <c r="U16" s="81">
        <v>130000000</v>
      </c>
      <c r="V16" s="81"/>
      <c r="W16" s="81">
        <v>0</v>
      </c>
      <c r="X16" s="81">
        <v>0</v>
      </c>
      <c r="Y16" s="81">
        <v>0</v>
      </c>
      <c r="Z16" s="81">
        <v>0</v>
      </c>
      <c r="AA16" s="81">
        <v>0</v>
      </c>
      <c r="AB16" t="str">
        <f t="shared" si="3"/>
        <v>A-02-01-01-006</v>
      </c>
      <c r="AC16" t="str">
        <f t="shared" si="4"/>
        <v>A</v>
      </c>
    </row>
    <row r="17" spans="1:29" ht="21" hidden="1" customHeight="1">
      <c r="A17" s="78" t="s">
        <v>708</v>
      </c>
      <c r="B17" s="79">
        <v>2024</v>
      </c>
      <c r="C17" s="78" t="s">
        <v>3</v>
      </c>
      <c r="D17" s="78" t="s">
        <v>154</v>
      </c>
      <c r="E17" s="78" t="s">
        <v>151</v>
      </c>
      <c r="F17" s="78" t="s">
        <v>178</v>
      </c>
      <c r="G17" s="78" t="s">
        <v>179</v>
      </c>
      <c r="H17" s="78" t="s">
        <v>157</v>
      </c>
      <c r="I17" s="78" t="s">
        <v>158</v>
      </c>
      <c r="J17" s="78" t="s">
        <v>38</v>
      </c>
      <c r="K17" s="78" t="s">
        <v>39</v>
      </c>
      <c r="L17" s="78" t="s">
        <v>152</v>
      </c>
      <c r="M17" s="78" t="s">
        <v>40</v>
      </c>
      <c r="N17" s="81">
        <v>100583325</v>
      </c>
      <c r="O17" s="81"/>
      <c r="P17" s="81"/>
      <c r="Q17" s="81">
        <v>0</v>
      </c>
      <c r="R17" s="81">
        <v>0</v>
      </c>
      <c r="S17" s="81">
        <v>100583325</v>
      </c>
      <c r="T17" s="81">
        <v>100583325</v>
      </c>
      <c r="U17" s="81">
        <v>0</v>
      </c>
      <c r="V17" s="81">
        <v>100016659</v>
      </c>
      <c r="W17" s="81">
        <v>14733326</v>
      </c>
      <c r="X17" s="81">
        <v>14733326</v>
      </c>
      <c r="Y17" s="81">
        <v>14733326</v>
      </c>
      <c r="Z17" s="81">
        <v>0</v>
      </c>
      <c r="AA17" s="81">
        <v>0</v>
      </c>
      <c r="AB17" t="str">
        <f t="shared" si="3"/>
        <v>A-02-02-02-008</v>
      </c>
      <c r="AC17" t="str">
        <f t="shared" si="4"/>
        <v>A</v>
      </c>
    </row>
    <row r="18" spans="1:29" ht="21" hidden="1" customHeight="1">
      <c r="A18" s="78" t="s">
        <v>708</v>
      </c>
      <c r="B18" s="79">
        <v>2024</v>
      </c>
      <c r="C18" s="78" t="s">
        <v>3</v>
      </c>
      <c r="D18" s="78" t="s">
        <v>154</v>
      </c>
      <c r="E18" s="78" t="s">
        <v>151</v>
      </c>
      <c r="F18" s="78" t="s">
        <v>178</v>
      </c>
      <c r="G18" s="78" t="s">
        <v>179</v>
      </c>
      <c r="H18" s="78" t="s">
        <v>159</v>
      </c>
      <c r="I18" s="78" t="s">
        <v>160</v>
      </c>
      <c r="J18" s="78" t="s">
        <v>38</v>
      </c>
      <c r="K18" s="78" t="s">
        <v>39</v>
      </c>
      <c r="L18" s="78" t="s">
        <v>152</v>
      </c>
      <c r="M18" s="78" t="s">
        <v>40</v>
      </c>
      <c r="N18" s="81">
        <v>2210809300</v>
      </c>
      <c r="O18" s="81"/>
      <c r="P18" s="81"/>
      <c r="Q18" s="81">
        <v>0</v>
      </c>
      <c r="R18" s="81">
        <v>0</v>
      </c>
      <c r="S18" s="81">
        <v>2210809300</v>
      </c>
      <c r="T18" s="81">
        <v>2145642625</v>
      </c>
      <c r="U18" s="81">
        <v>65166675</v>
      </c>
      <c r="V18" s="81">
        <v>1046833278</v>
      </c>
      <c r="W18" s="81">
        <v>95533296</v>
      </c>
      <c r="X18" s="81">
        <v>95533296</v>
      </c>
      <c r="Y18" s="81">
        <v>71233296</v>
      </c>
      <c r="Z18" s="81">
        <v>0</v>
      </c>
      <c r="AA18" s="81">
        <v>0</v>
      </c>
      <c r="AB18" t="str">
        <f t="shared" si="3"/>
        <v>A-02-02-02-008</v>
      </c>
      <c r="AC18" t="str">
        <f t="shared" si="4"/>
        <v>A</v>
      </c>
    </row>
    <row r="19" spans="1:29" ht="21" hidden="1" customHeight="1">
      <c r="A19" s="78" t="s">
        <v>708</v>
      </c>
      <c r="B19" s="79">
        <v>2024</v>
      </c>
      <c r="C19" s="78" t="s">
        <v>3</v>
      </c>
      <c r="D19" s="78" t="s">
        <v>154</v>
      </c>
      <c r="E19" s="78" t="s">
        <v>151</v>
      </c>
      <c r="F19" s="78" t="s">
        <v>178</v>
      </c>
      <c r="G19" s="78" t="s">
        <v>179</v>
      </c>
      <c r="H19" s="78" t="s">
        <v>182</v>
      </c>
      <c r="I19" s="78" t="s">
        <v>183</v>
      </c>
      <c r="J19" s="78" t="s">
        <v>38</v>
      </c>
      <c r="K19" s="78" t="s">
        <v>39</v>
      </c>
      <c r="L19" s="78" t="s">
        <v>152</v>
      </c>
      <c r="M19" s="78" t="s">
        <v>40</v>
      </c>
      <c r="N19" s="81">
        <v>150000000</v>
      </c>
      <c r="O19" s="81">
        <v>200000000</v>
      </c>
      <c r="P19" s="81">
        <v>0</v>
      </c>
      <c r="Q19" s="81">
        <v>0</v>
      </c>
      <c r="R19" s="81">
        <v>0</v>
      </c>
      <c r="S19" s="81">
        <v>350000000</v>
      </c>
      <c r="T19" s="81">
        <v>0</v>
      </c>
      <c r="U19" s="81">
        <v>350000000</v>
      </c>
      <c r="V19" s="81"/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t="str">
        <f t="shared" si="3"/>
        <v>A-02-02-02-008</v>
      </c>
      <c r="AC19" t="str">
        <f t="shared" si="4"/>
        <v>A</v>
      </c>
    </row>
    <row r="20" spans="1:29" ht="21" customHeight="1">
      <c r="A20" s="78" t="s">
        <v>708</v>
      </c>
      <c r="B20" s="79">
        <v>2024</v>
      </c>
      <c r="C20" s="78" t="s">
        <v>3</v>
      </c>
      <c r="D20" s="78" t="s">
        <v>154</v>
      </c>
      <c r="E20" s="78" t="s">
        <v>151</v>
      </c>
      <c r="F20" s="78" t="s">
        <v>178</v>
      </c>
      <c r="G20" s="78" t="s">
        <v>179</v>
      </c>
      <c r="H20" s="78" t="s">
        <v>168</v>
      </c>
      <c r="I20" s="78" t="s">
        <v>169</v>
      </c>
      <c r="J20" s="78" t="s">
        <v>38</v>
      </c>
      <c r="K20" s="78" t="s">
        <v>72</v>
      </c>
      <c r="L20" s="78" t="s">
        <v>165</v>
      </c>
      <c r="M20" s="78" t="s">
        <v>40</v>
      </c>
      <c r="N20" s="81">
        <v>1096859325</v>
      </c>
      <c r="O20" s="81"/>
      <c r="P20" s="81"/>
      <c r="Q20" s="81">
        <v>0</v>
      </c>
      <c r="R20" s="81">
        <v>0</v>
      </c>
      <c r="S20" s="81">
        <v>1096859325</v>
      </c>
      <c r="T20" s="81">
        <v>694662650</v>
      </c>
      <c r="U20" s="81">
        <v>402196675</v>
      </c>
      <c r="V20" s="81">
        <v>363933315</v>
      </c>
      <c r="W20" s="81">
        <v>34453325</v>
      </c>
      <c r="X20" s="81">
        <v>24453325</v>
      </c>
      <c r="Y20" s="81">
        <v>24453325</v>
      </c>
      <c r="Z20" s="81">
        <v>0</v>
      </c>
      <c r="AA20" s="81">
        <v>0</v>
      </c>
      <c r="AB20" t="str">
        <f t="shared" si="3"/>
        <v>C-0399-1000-9-</v>
      </c>
      <c r="AC20" t="str">
        <f t="shared" si="4"/>
        <v>C</v>
      </c>
    </row>
    <row r="21" spans="1:29" ht="21" hidden="1" customHeight="1">
      <c r="A21" s="78" t="s">
        <v>708</v>
      </c>
      <c r="B21" s="79">
        <v>2024</v>
      </c>
      <c r="C21" s="78" t="s">
        <v>3</v>
      </c>
      <c r="D21" s="78" t="s">
        <v>154</v>
      </c>
      <c r="E21" s="78" t="s">
        <v>151</v>
      </c>
      <c r="F21" s="78" t="s">
        <v>184</v>
      </c>
      <c r="G21" s="78" t="s">
        <v>185</v>
      </c>
      <c r="H21" s="78" t="s">
        <v>159</v>
      </c>
      <c r="I21" s="78" t="s">
        <v>160</v>
      </c>
      <c r="J21" s="78" t="s">
        <v>38</v>
      </c>
      <c r="K21" s="78" t="s">
        <v>39</v>
      </c>
      <c r="L21" s="78" t="s">
        <v>152</v>
      </c>
      <c r="M21" s="78" t="s">
        <v>40</v>
      </c>
      <c r="N21" s="81">
        <v>1289750667</v>
      </c>
      <c r="O21" s="81"/>
      <c r="P21" s="81"/>
      <c r="Q21" s="81">
        <v>0</v>
      </c>
      <c r="R21" s="81">
        <v>0</v>
      </c>
      <c r="S21" s="81">
        <v>1289750667</v>
      </c>
      <c r="T21" s="81">
        <v>1179942667</v>
      </c>
      <c r="U21" s="81">
        <v>109808000</v>
      </c>
      <c r="V21" s="81">
        <v>1179942667</v>
      </c>
      <c r="W21" s="81">
        <v>107672656</v>
      </c>
      <c r="X21" s="81">
        <v>107672656</v>
      </c>
      <c r="Y21" s="81">
        <v>107672656</v>
      </c>
      <c r="Z21" s="81">
        <v>0</v>
      </c>
      <c r="AA21" s="81">
        <v>0</v>
      </c>
      <c r="AB21" t="str">
        <f t="shared" si="3"/>
        <v>A-02-02-02-008</v>
      </c>
      <c r="AC21" t="str">
        <f t="shared" si="4"/>
        <v>A</v>
      </c>
    </row>
    <row r="22" spans="1:29" ht="21" customHeight="1">
      <c r="A22" s="78" t="s">
        <v>708</v>
      </c>
      <c r="B22" s="79">
        <v>2024</v>
      </c>
      <c r="C22" s="78" t="s">
        <v>3</v>
      </c>
      <c r="D22" s="78" t="s">
        <v>154</v>
      </c>
      <c r="E22" s="78" t="s">
        <v>151</v>
      </c>
      <c r="F22" s="78" t="s">
        <v>184</v>
      </c>
      <c r="G22" s="78" t="s">
        <v>185</v>
      </c>
      <c r="H22" s="78" t="s">
        <v>186</v>
      </c>
      <c r="I22" s="78" t="s">
        <v>187</v>
      </c>
      <c r="J22" s="78" t="s">
        <v>38</v>
      </c>
      <c r="K22" s="78" t="s">
        <v>72</v>
      </c>
      <c r="L22" s="78" t="s">
        <v>165</v>
      </c>
      <c r="M22" s="78" t="s">
        <v>40</v>
      </c>
      <c r="N22" s="81">
        <v>504576000</v>
      </c>
      <c r="O22" s="81"/>
      <c r="P22" s="81"/>
      <c r="Q22" s="81">
        <v>0</v>
      </c>
      <c r="R22" s="81">
        <v>0</v>
      </c>
      <c r="S22" s="81">
        <v>504576000</v>
      </c>
      <c r="T22" s="81">
        <v>504576000</v>
      </c>
      <c r="U22" s="81">
        <v>0</v>
      </c>
      <c r="V22" s="81">
        <v>504576000</v>
      </c>
      <c r="W22" s="81">
        <v>53728000</v>
      </c>
      <c r="X22" s="81">
        <v>53728000</v>
      </c>
      <c r="Y22" s="81">
        <v>44968000</v>
      </c>
      <c r="Z22" s="81">
        <v>0</v>
      </c>
      <c r="AA22" s="81">
        <v>0</v>
      </c>
      <c r="AB22" t="str">
        <f t="shared" si="3"/>
        <v>C-0399-1000-9-</v>
      </c>
      <c r="AC22" t="str">
        <f t="shared" si="4"/>
        <v>C</v>
      </c>
    </row>
    <row r="23" spans="1:29" ht="21" customHeight="1">
      <c r="A23" s="78" t="s">
        <v>708</v>
      </c>
      <c r="B23" s="79">
        <v>2024</v>
      </c>
      <c r="C23" s="78" t="s">
        <v>3</v>
      </c>
      <c r="D23" s="78" t="s">
        <v>154</v>
      </c>
      <c r="E23" s="78" t="s">
        <v>151</v>
      </c>
      <c r="F23" s="78" t="s">
        <v>188</v>
      </c>
      <c r="G23" s="78" t="s">
        <v>189</v>
      </c>
      <c r="H23" s="78" t="s">
        <v>163</v>
      </c>
      <c r="I23" s="78" t="s">
        <v>164</v>
      </c>
      <c r="J23" s="78" t="s">
        <v>38</v>
      </c>
      <c r="K23" s="78" t="s">
        <v>72</v>
      </c>
      <c r="L23" s="78" t="s">
        <v>165</v>
      </c>
      <c r="M23" s="78" t="s">
        <v>40</v>
      </c>
      <c r="N23" s="80">
        <v>1319642500</v>
      </c>
      <c r="O23" s="80">
        <v>0</v>
      </c>
      <c r="P23" s="80">
        <v>423619000</v>
      </c>
      <c r="Q23" s="80">
        <v>0</v>
      </c>
      <c r="R23" s="80">
        <v>200000000</v>
      </c>
      <c r="S23" s="80">
        <v>696023500</v>
      </c>
      <c r="T23" s="80">
        <v>0</v>
      </c>
      <c r="U23" s="80">
        <v>696023500</v>
      </c>
      <c r="V23" s="80"/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t="str">
        <f t="shared" si="3"/>
        <v>C-0301-1000-35</v>
      </c>
      <c r="AC23" t="str">
        <f t="shared" si="4"/>
        <v>C</v>
      </c>
    </row>
    <row r="24" spans="1:29" ht="21" customHeight="1">
      <c r="A24" s="78" t="s">
        <v>708</v>
      </c>
      <c r="B24" s="79">
        <v>2024</v>
      </c>
      <c r="C24" s="78" t="s">
        <v>3</v>
      </c>
      <c r="D24" s="78" t="s">
        <v>154</v>
      </c>
      <c r="E24" s="78" t="s">
        <v>151</v>
      </c>
      <c r="F24" s="78" t="s">
        <v>188</v>
      </c>
      <c r="G24" s="78" t="s">
        <v>189</v>
      </c>
      <c r="H24" s="78" t="s">
        <v>190</v>
      </c>
      <c r="I24" s="78" t="s">
        <v>191</v>
      </c>
      <c r="J24" s="78" t="s">
        <v>38</v>
      </c>
      <c r="K24" s="78" t="s">
        <v>72</v>
      </c>
      <c r="L24" s="78" t="s">
        <v>165</v>
      </c>
      <c r="M24" s="78" t="s">
        <v>40</v>
      </c>
      <c r="N24" s="80">
        <v>1184557500</v>
      </c>
      <c r="O24" s="80"/>
      <c r="P24" s="80"/>
      <c r="Q24" s="80">
        <v>0</v>
      </c>
      <c r="R24" s="80">
        <v>0</v>
      </c>
      <c r="S24" s="80">
        <v>1184557500</v>
      </c>
      <c r="T24" s="80">
        <v>905675400</v>
      </c>
      <c r="U24" s="80">
        <v>278882100</v>
      </c>
      <c r="V24" s="80">
        <v>383214400</v>
      </c>
      <c r="W24" s="80">
        <v>40900900</v>
      </c>
      <c r="X24" s="80">
        <v>40900900</v>
      </c>
      <c r="Y24" s="80">
        <v>19783900</v>
      </c>
      <c r="Z24" s="80">
        <v>0</v>
      </c>
      <c r="AA24" s="80">
        <v>0</v>
      </c>
      <c r="AB24" t="str">
        <f t="shared" si="3"/>
        <v>C-0301-1000-35</v>
      </c>
      <c r="AC24" t="str">
        <f t="shared" si="4"/>
        <v>C</v>
      </c>
    </row>
    <row r="25" spans="1:29" ht="21" customHeight="1">
      <c r="A25" s="78" t="s">
        <v>708</v>
      </c>
      <c r="B25" s="79">
        <v>2024</v>
      </c>
      <c r="C25" s="78" t="s">
        <v>3</v>
      </c>
      <c r="D25" s="78" t="s">
        <v>154</v>
      </c>
      <c r="E25" s="78" t="s">
        <v>151</v>
      </c>
      <c r="F25" s="78" t="s">
        <v>188</v>
      </c>
      <c r="G25" s="78" t="s">
        <v>189</v>
      </c>
      <c r="H25" s="78" t="s">
        <v>192</v>
      </c>
      <c r="I25" s="78" t="s">
        <v>193</v>
      </c>
      <c r="J25" s="78" t="s">
        <v>38</v>
      </c>
      <c r="K25" s="78" t="s">
        <v>72</v>
      </c>
      <c r="L25" s="78" t="s">
        <v>165</v>
      </c>
      <c r="M25" s="78" t="s">
        <v>40</v>
      </c>
      <c r="N25" s="80">
        <v>1843800000</v>
      </c>
      <c r="O25" s="80"/>
      <c r="P25" s="80"/>
      <c r="Q25" s="80">
        <v>0</v>
      </c>
      <c r="R25" s="80">
        <v>0</v>
      </c>
      <c r="S25" s="80">
        <v>1843800000</v>
      </c>
      <c r="T25" s="80">
        <v>1725766208</v>
      </c>
      <c r="U25" s="80">
        <v>118033792</v>
      </c>
      <c r="V25" s="80">
        <v>1288348808</v>
      </c>
      <c r="W25" s="80">
        <v>149322800</v>
      </c>
      <c r="X25" s="80">
        <v>149322800</v>
      </c>
      <c r="Y25" s="80">
        <v>136887400</v>
      </c>
      <c r="Z25" s="80">
        <v>0</v>
      </c>
      <c r="AA25" s="80">
        <v>0</v>
      </c>
      <c r="AB25" t="str">
        <f t="shared" si="3"/>
        <v>C-0301-1000-35</v>
      </c>
      <c r="AC25" t="str">
        <f t="shared" si="4"/>
        <v>C</v>
      </c>
    </row>
    <row r="26" spans="1:29" ht="21" hidden="1" customHeight="1">
      <c r="A26" s="78" t="s">
        <v>708</v>
      </c>
      <c r="B26" s="79">
        <v>2024</v>
      </c>
      <c r="C26" s="78" t="s">
        <v>3</v>
      </c>
      <c r="D26" s="78" t="s">
        <v>154</v>
      </c>
      <c r="E26" s="78" t="s">
        <v>151</v>
      </c>
      <c r="F26" s="78" t="s">
        <v>194</v>
      </c>
      <c r="G26" s="78" t="s">
        <v>195</v>
      </c>
      <c r="H26" s="78" t="s">
        <v>157</v>
      </c>
      <c r="I26" s="78" t="s">
        <v>158</v>
      </c>
      <c r="J26" s="78" t="s">
        <v>38</v>
      </c>
      <c r="K26" s="78" t="s">
        <v>39</v>
      </c>
      <c r="L26" s="78" t="s">
        <v>152</v>
      </c>
      <c r="M26" s="78" t="s">
        <v>40</v>
      </c>
      <c r="N26" s="80">
        <v>141200000</v>
      </c>
      <c r="O26" s="80"/>
      <c r="P26" s="80"/>
      <c r="Q26" s="80">
        <v>0</v>
      </c>
      <c r="R26" s="80">
        <v>0</v>
      </c>
      <c r="S26" s="80">
        <v>141200000</v>
      </c>
      <c r="T26" s="80">
        <v>141200000</v>
      </c>
      <c r="U26" s="80">
        <v>0</v>
      </c>
      <c r="V26" s="80">
        <v>137600000</v>
      </c>
      <c r="W26" s="80">
        <v>17600000</v>
      </c>
      <c r="X26" s="80">
        <v>17600000</v>
      </c>
      <c r="Y26" s="80">
        <v>17600000</v>
      </c>
      <c r="Z26" s="80">
        <v>0</v>
      </c>
      <c r="AA26" s="80">
        <v>0</v>
      </c>
      <c r="AB26" t="str">
        <f t="shared" si="3"/>
        <v>A-02-02-02-008</v>
      </c>
      <c r="AC26" t="str">
        <f t="shared" si="4"/>
        <v>A</v>
      </c>
    </row>
    <row r="27" spans="1:29" ht="21" hidden="1" customHeight="1">
      <c r="A27" s="78" t="s">
        <v>708</v>
      </c>
      <c r="B27" s="79">
        <v>2024</v>
      </c>
      <c r="C27" s="78" t="s">
        <v>3</v>
      </c>
      <c r="D27" s="78" t="s">
        <v>154</v>
      </c>
      <c r="E27" s="78" t="s">
        <v>151</v>
      </c>
      <c r="F27" s="78" t="s">
        <v>194</v>
      </c>
      <c r="G27" s="78" t="s">
        <v>195</v>
      </c>
      <c r="H27" s="78" t="s">
        <v>159</v>
      </c>
      <c r="I27" s="78" t="s">
        <v>160</v>
      </c>
      <c r="J27" s="78" t="s">
        <v>38</v>
      </c>
      <c r="K27" s="78" t="s">
        <v>39</v>
      </c>
      <c r="L27" s="78" t="s">
        <v>152</v>
      </c>
      <c r="M27" s="78" t="s">
        <v>40</v>
      </c>
      <c r="N27" s="80">
        <v>338469800</v>
      </c>
      <c r="O27" s="80"/>
      <c r="P27" s="80"/>
      <c r="Q27" s="80">
        <v>0</v>
      </c>
      <c r="R27" s="80">
        <v>0</v>
      </c>
      <c r="S27" s="80">
        <v>338469800</v>
      </c>
      <c r="T27" s="80">
        <v>268527800</v>
      </c>
      <c r="U27" s="80">
        <v>69942000</v>
      </c>
      <c r="V27" s="80">
        <v>261603200</v>
      </c>
      <c r="W27" s="80">
        <v>24483200</v>
      </c>
      <c r="X27" s="80">
        <v>13143200</v>
      </c>
      <c r="Y27" s="80">
        <v>8607200</v>
      </c>
      <c r="Z27" s="80">
        <v>0</v>
      </c>
      <c r="AA27" s="80">
        <v>0</v>
      </c>
      <c r="AB27" t="str">
        <f t="shared" si="3"/>
        <v>A-02-02-02-008</v>
      </c>
      <c r="AC27" t="str">
        <f t="shared" si="4"/>
        <v>A</v>
      </c>
    </row>
    <row r="28" spans="1:29" ht="21" customHeight="1">
      <c r="A28" s="78" t="s">
        <v>708</v>
      </c>
      <c r="B28" s="79">
        <v>2024</v>
      </c>
      <c r="C28" s="78" t="s">
        <v>3</v>
      </c>
      <c r="D28" s="78" t="s">
        <v>154</v>
      </c>
      <c r="E28" s="78" t="s">
        <v>151</v>
      </c>
      <c r="F28" s="78" t="s">
        <v>194</v>
      </c>
      <c r="G28" s="78" t="s">
        <v>195</v>
      </c>
      <c r="H28" s="78" t="s">
        <v>186</v>
      </c>
      <c r="I28" s="78" t="s">
        <v>187</v>
      </c>
      <c r="J28" s="78" t="s">
        <v>38</v>
      </c>
      <c r="K28" s="78" t="s">
        <v>72</v>
      </c>
      <c r="L28" s="78" t="s">
        <v>165</v>
      </c>
      <c r="M28" s="78" t="s">
        <v>40</v>
      </c>
      <c r="N28" s="80">
        <v>2454131000</v>
      </c>
      <c r="O28" s="80"/>
      <c r="P28" s="80"/>
      <c r="Q28" s="80">
        <v>0</v>
      </c>
      <c r="R28" s="80">
        <v>0</v>
      </c>
      <c r="S28" s="80">
        <v>2454131000</v>
      </c>
      <c r="T28" s="80">
        <v>1832041334</v>
      </c>
      <c r="U28" s="80">
        <v>622089666</v>
      </c>
      <c r="V28" s="80">
        <v>1643297200</v>
      </c>
      <c r="W28" s="80">
        <v>126897199</v>
      </c>
      <c r="X28" s="80">
        <v>126897199</v>
      </c>
      <c r="Y28" s="80">
        <v>124737199</v>
      </c>
      <c r="Z28" s="80">
        <v>0</v>
      </c>
      <c r="AA28" s="80">
        <v>0</v>
      </c>
      <c r="AB28" t="str">
        <f t="shared" si="3"/>
        <v>C-0399-1000-9-</v>
      </c>
      <c r="AC28" t="str">
        <f t="shared" si="4"/>
        <v>C</v>
      </c>
    </row>
    <row r="29" spans="1:29" ht="21" customHeight="1">
      <c r="A29" s="78" t="s">
        <v>708</v>
      </c>
      <c r="B29" s="79">
        <v>2024</v>
      </c>
      <c r="C29" s="78" t="s">
        <v>3</v>
      </c>
      <c r="D29" s="78" t="s">
        <v>154</v>
      </c>
      <c r="E29" s="78" t="s">
        <v>151</v>
      </c>
      <c r="F29" s="78" t="s">
        <v>196</v>
      </c>
      <c r="G29" s="78" t="s">
        <v>197</v>
      </c>
      <c r="H29" s="78" t="s">
        <v>198</v>
      </c>
      <c r="I29" s="78" t="s">
        <v>199</v>
      </c>
      <c r="J29" s="78" t="s">
        <v>38</v>
      </c>
      <c r="K29" s="78" t="s">
        <v>72</v>
      </c>
      <c r="L29" s="78" t="s">
        <v>165</v>
      </c>
      <c r="M29" s="78" t="s">
        <v>40</v>
      </c>
      <c r="N29" s="80">
        <v>822016935</v>
      </c>
      <c r="O29" s="80"/>
      <c r="P29" s="80"/>
      <c r="Q29" s="80">
        <v>0</v>
      </c>
      <c r="R29" s="80">
        <v>0</v>
      </c>
      <c r="S29" s="80">
        <v>822016935</v>
      </c>
      <c r="T29" s="80">
        <v>822016935</v>
      </c>
      <c r="U29" s="80">
        <v>0</v>
      </c>
      <c r="V29" s="80">
        <v>691371933</v>
      </c>
      <c r="W29" s="80">
        <v>66259337</v>
      </c>
      <c r="X29" s="80">
        <v>66259337</v>
      </c>
      <c r="Y29" s="80">
        <v>51968337</v>
      </c>
      <c r="Z29" s="80">
        <v>0</v>
      </c>
      <c r="AA29" s="80">
        <v>0</v>
      </c>
      <c r="AB29" t="str">
        <f t="shared" si="3"/>
        <v>C-0301-1000-33</v>
      </c>
      <c r="AC29" t="str">
        <f t="shared" si="4"/>
        <v>C</v>
      </c>
    </row>
    <row r="30" spans="1:29" ht="21" customHeight="1">
      <c r="A30" s="78" t="s">
        <v>708</v>
      </c>
      <c r="B30" s="79">
        <v>2024</v>
      </c>
      <c r="C30" s="78" t="s">
        <v>3</v>
      </c>
      <c r="D30" s="78" t="s">
        <v>154</v>
      </c>
      <c r="E30" s="78" t="s">
        <v>151</v>
      </c>
      <c r="F30" s="78" t="s">
        <v>196</v>
      </c>
      <c r="G30" s="78" t="s">
        <v>197</v>
      </c>
      <c r="H30" s="78" t="s">
        <v>200</v>
      </c>
      <c r="I30" s="78" t="s">
        <v>201</v>
      </c>
      <c r="J30" s="78" t="s">
        <v>38</v>
      </c>
      <c r="K30" s="78" t="s">
        <v>72</v>
      </c>
      <c r="L30" s="78" t="s">
        <v>165</v>
      </c>
      <c r="M30" s="78" t="s">
        <v>40</v>
      </c>
      <c r="N30" s="80">
        <v>3197896561</v>
      </c>
      <c r="O30" s="80"/>
      <c r="P30" s="80"/>
      <c r="Q30" s="80">
        <v>0</v>
      </c>
      <c r="R30" s="80">
        <v>0</v>
      </c>
      <c r="S30" s="80">
        <v>3197896561</v>
      </c>
      <c r="T30" s="80">
        <v>2695714571</v>
      </c>
      <c r="U30" s="80">
        <v>502181990</v>
      </c>
      <c r="V30" s="80">
        <v>1654217891</v>
      </c>
      <c r="W30" s="80">
        <v>227937694</v>
      </c>
      <c r="X30" s="80">
        <v>208494472</v>
      </c>
      <c r="Y30" s="80">
        <v>203709039</v>
      </c>
      <c r="Z30" s="80">
        <v>0</v>
      </c>
      <c r="AA30" s="80">
        <v>0</v>
      </c>
      <c r="AB30" t="str">
        <f t="shared" si="3"/>
        <v>C-0301-1000-33</v>
      </c>
      <c r="AC30" t="str">
        <f t="shared" si="4"/>
        <v>C</v>
      </c>
    </row>
    <row r="31" spans="1:29" ht="21" hidden="1" customHeight="1">
      <c r="A31" s="78" t="s">
        <v>708</v>
      </c>
      <c r="B31" s="79">
        <v>2024</v>
      </c>
      <c r="C31" s="78" t="s">
        <v>3</v>
      </c>
      <c r="D31" s="78" t="s">
        <v>154</v>
      </c>
      <c r="E31" s="78" t="s">
        <v>151</v>
      </c>
      <c r="F31" s="78" t="s">
        <v>202</v>
      </c>
      <c r="G31" s="78" t="s">
        <v>203</v>
      </c>
      <c r="H31" s="78" t="s">
        <v>159</v>
      </c>
      <c r="I31" s="78" t="s">
        <v>160</v>
      </c>
      <c r="J31" s="78" t="s">
        <v>38</v>
      </c>
      <c r="K31" s="78" t="s">
        <v>39</v>
      </c>
      <c r="L31" s="78" t="s">
        <v>152</v>
      </c>
      <c r="M31" s="78" t="s">
        <v>40</v>
      </c>
      <c r="N31" s="80">
        <v>307482500</v>
      </c>
      <c r="O31" s="80"/>
      <c r="P31" s="80"/>
      <c r="Q31" s="80">
        <v>0</v>
      </c>
      <c r="R31" s="80">
        <v>0</v>
      </c>
      <c r="S31" s="80">
        <v>307482500</v>
      </c>
      <c r="T31" s="80">
        <v>305337500</v>
      </c>
      <c r="U31" s="80">
        <v>2145000</v>
      </c>
      <c r="V31" s="80">
        <v>94080005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t="str">
        <f t="shared" si="3"/>
        <v>A-02-02-02-008</v>
      </c>
      <c r="AC31" t="str">
        <f t="shared" si="4"/>
        <v>A</v>
      </c>
    </row>
    <row r="32" spans="1:29" ht="21" customHeight="1">
      <c r="A32" s="78" t="s">
        <v>708</v>
      </c>
      <c r="B32" s="79">
        <v>2024</v>
      </c>
      <c r="C32" s="78" t="s">
        <v>3</v>
      </c>
      <c r="D32" s="78" t="s">
        <v>154</v>
      </c>
      <c r="E32" s="78" t="s">
        <v>151</v>
      </c>
      <c r="F32" s="78" t="s">
        <v>202</v>
      </c>
      <c r="G32" s="78" t="s">
        <v>203</v>
      </c>
      <c r="H32" s="78" t="s">
        <v>204</v>
      </c>
      <c r="I32" s="78" t="s">
        <v>205</v>
      </c>
      <c r="J32" s="78" t="s">
        <v>38</v>
      </c>
      <c r="K32" s="78" t="s">
        <v>72</v>
      </c>
      <c r="L32" s="78" t="s">
        <v>165</v>
      </c>
      <c r="M32" s="78" t="s">
        <v>40</v>
      </c>
      <c r="N32" s="80">
        <v>4172477058</v>
      </c>
      <c r="O32" s="80"/>
      <c r="P32" s="80"/>
      <c r="Q32" s="80">
        <v>0</v>
      </c>
      <c r="R32" s="80">
        <v>0</v>
      </c>
      <c r="S32" s="80">
        <v>4172477058</v>
      </c>
      <c r="T32" s="80">
        <v>4094031855</v>
      </c>
      <c r="U32" s="80">
        <v>78445203</v>
      </c>
      <c r="V32" s="80">
        <v>3752607342</v>
      </c>
      <c r="W32" s="80">
        <v>301986857</v>
      </c>
      <c r="X32" s="80">
        <v>289122557</v>
      </c>
      <c r="Y32" s="80">
        <v>258194557</v>
      </c>
      <c r="Z32" s="80">
        <v>0</v>
      </c>
      <c r="AA32" s="80">
        <v>0</v>
      </c>
      <c r="AB32" t="str">
        <f t="shared" si="3"/>
        <v>C-0301-1000-33</v>
      </c>
      <c r="AC32" t="str">
        <f t="shared" si="4"/>
        <v>C</v>
      </c>
    </row>
    <row r="33" spans="1:29" ht="21" customHeight="1">
      <c r="A33" s="78" t="s">
        <v>708</v>
      </c>
      <c r="B33" s="79">
        <v>2024</v>
      </c>
      <c r="C33" s="78" t="s">
        <v>3</v>
      </c>
      <c r="D33" s="78" t="s">
        <v>154</v>
      </c>
      <c r="E33" s="78" t="s">
        <v>151</v>
      </c>
      <c r="F33" s="78" t="s">
        <v>202</v>
      </c>
      <c r="G33" s="78" t="s">
        <v>203</v>
      </c>
      <c r="H33" s="78" t="s">
        <v>198</v>
      </c>
      <c r="I33" s="78" t="s">
        <v>199</v>
      </c>
      <c r="J33" s="78" t="s">
        <v>38</v>
      </c>
      <c r="K33" s="78" t="s">
        <v>72</v>
      </c>
      <c r="L33" s="78" t="s">
        <v>165</v>
      </c>
      <c r="M33" s="78" t="s">
        <v>40</v>
      </c>
      <c r="N33" s="80">
        <v>544857600</v>
      </c>
      <c r="O33" s="80"/>
      <c r="P33" s="80"/>
      <c r="Q33" s="80">
        <v>0</v>
      </c>
      <c r="R33" s="80">
        <v>0</v>
      </c>
      <c r="S33" s="80">
        <v>544857600</v>
      </c>
      <c r="T33" s="80">
        <v>539441062</v>
      </c>
      <c r="U33" s="80">
        <v>5416538</v>
      </c>
      <c r="V33" s="80">
        <v>534041062</v>
      </c>
      <c r="W33" s="80">
        <v>30137330</v>
      </c>
      <c r="X33" s="80">
        <v>30137330</v>
      </c>
      <c r="Y33" s="80">
        <v>30137330</v>
      </c>
      <c r="Z33" s="80">
        <v>0</v>
      </c>
      <c r="AA33" s="80">
        <v>0</v>
      </c>
      <c r="AB33" t="str">
        <f t="shared" si="3"/>
        <v>C-0301-1000-33</v>
      </c>
      <c r="AC33" t="str">
        <f t="shared" si="4"/>
        <v>C</v>
      </c>
    </row>
    <row r="34" spans="1:29" ht="21" customHeight="1">
      <c r="A34" s="78" t="s">
        <v>708</v>
      </c>
      <c r="B34" s="79">
        <v>2024</v>
      </c>
      <c r="C34" s="78" t="s">
        <v>3</v>
      </c>
      <c r="D34" s="78" t="s">
        <v>154</v>
      </c>
      <c r="E34" s="78" t="s">
        <v>151</v>
      </c>
      <c r="F34" s="78" t="s">
        <v>206</v>
      </c>
      <c r="G34" s="78" t="s">
        <v>207</v>
      </c>
      <c r="H34" s="78" t="s">
        <v>198</v>
      </c>
      <c r="I34" s="78" t="s">
        <v>199</v>
      </c>
      <c r="J34" s="78" t="s">
        <v>38</v>
      </c>
      <c r="K34" s="78" t="s">
        <v>72</v>
      </c>
      <c r="L34" s="78" t="s">
        <v>165</v>
      </c>
      <c r="M34" s="78" t="s">
        <v>40</v>
      </c>
      <c r="N34" s="80">
        <v>7282857801</v>
      </c>
      <c r="O34" s="80"/>
      <c r="P34" s="80"/>
      <c r="Q34" s="80">
        <v>0</v>
      </c>
      <c r="R34" s="80">
        <v>0</v>
      </c>
      <c r="S34" s="80">
        <v>7282857801</v>
      </c>
      <c r="T34" s="80">
        <v>3507513367</v>
      </c>
      <c r="U34" s="80">
        <v>3775344434</v>
      </c>
      <c r="V34" s="80">
        <v>2238663592</v>
      </c>
      <c r="W34" s="80">
        <v>145500857</v>
      </c>
      <c r="X34" s="80">
        <v>145500857</v>
      </c>
      <c r="Y34" s="80">
        <v>129700857</v>
      </c>
      <c r="Z34" s="80">
        <v>0</v>
      </c>
      <c r="AA34" s="80">
        <v>0</v>
      </c>
      <c r="AB34" t="str">
        <f t="shared" si="3"/>
        <v>C-0301-1000-33</v>
      </c>
      <c r="AC34" t="str">
        <f t="shared" si="4"/>
        <v>C</v>
      </c>
    </row>
    <row r="35" spans="1:29" ht="21" customHeight="1">
      <c r="A35" s="78" t="s">
        <v>708</v>
      </c>
      <c r="B35" s="79">
        <v>2024</v>
      </c>
      <c r="C35" s="78" t="s">
        <v>3</v>
      </c>
      <c r="D35" s="78" t="s">
        <v>154</v>
      </c>
      <c r="E35" s="78" t="s">
        <v>151</v>
      </c>
      <c r="F35" s="78" t="s">
        <v>208</v>
      </c>
      <c r="G35" s="78" t="s">
        <v>209</v>
      </c>
      <c r="H35" s="78" t="s">
        <v>163</v>
      </c>
      <c r="I35" s="78" t="s">
        <v>164</v>
      </c>
      <c r="J35" s="78" t="s">
        <v>38</v>
      </c>
      <c r="K35" s="78" t="s">
        <v>72</v>
      </c>
      <c r="L35" s="78" t="s">
        <v>165</v>
      </c>
      <c r="M35" s="78" t="s">
        <v>40</v>
      </c>
      <c r="N35" s="80">
        <v>223619000</v>
      </c>
      <c r="O35" s="80"/>
      <c r="P35" s="80"/>
      <c r="Q35" s="80">
        <v>0</v>
      </c>
      <c r="R35" s="80">
        <v>0</v>
      </c>
      <c r="S35" s="80">
        <v>223619000</v>
      </c>
      <c r="T35" s="80">
        <v>223619000</v>
      </c>
      <c r="U35" s="80">
        <v>0</v>
      </c>
      <c r="V35" s="80">
        <v>214132133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t="str">
        <f t="shared" si="3"/>
        <v>C-0301-1000-35</v>
      </c>
      <c r="AC35" t="str">
        <f t="shared" si="4"/>
        <v>C</v>
      </c>
    </row>
    <row r="36" spans="1:29" ht="21" customHeight="1">
      <c r="A36" s="78" t="s">
        <v>708</v>
      </c>
      <c r="B36" s="79">
        <v>2024</v>
      </c>
      <c r="C36" s="78" t="s">
        <v>3</v>
      </c>
      <c r="D36" s="78" t="s">
        <v>154</v>
      </c>
      <c r="E36" s="78" t="s">
        <v>151</v>
      </c>
      <c r="F36" s="78" t="s">
        <v>208</v>
      </c>
      <c r="G36" s="78" t="s">
        <v>209</v>
      </c>
      <c r="H36" s="78" t="s">
        <v>210</v>
      </c>
      <c r="I36" s="78" t="s">
        <v>211</v>
      </c>
      <c r="J36" s="78" t="s">
        <v>38</v>
      </c>
      <c r="K36" s="78" t="s">
        <v>72</v>
      </c>
      <c r="L36" s="78" t="s">
        <v>165</v>
      </c>
      <c r="M36" s="78" t="s">
        <v>40</v>
      </c>
      <c r="N36" s="80">
        <v>1338490284</v>
      </c>
      <c r="O36" s="80"/>
      <c r="P36" s="80"/>
      <c r="Q36" s="80">
        <v>0</v>
      </c>
      <c r="R36" s="80">
        <v>0</v>
      </c>
      <c r="S36" s="80">
        <v>1338490284</v>
      </c>
      <c r="T36" s="80">
        <v>1165440883</v>
      </c>
      <c r="U36" s="80">
        <v>173049401</v>
      </c>
      <c r="V36" s="80">
        <v>431543133</v>
      </c>
      <c r="W36" s="80">
        <v>27695538</v>
      </c>
      <c r="X36" s="80">
        <v>27695538</v>
      </c>
      <c r="Y36" s="80">
        <v>27695538</v>
      </c>
      <c r="Z36" s="80">
        <v>0</v>
      </c>
      <c r="AA36" s="80">
        <v>0</v>
      </c>
      <c r="AB36" t="str">
        <f t="shared" si="3"/>
        <v>C-0301-1000-39</v>
      </c>
      <c r="AC36" t="str">
        <f t="shared" si="4"/>
        <v>C</v>
      </c>
    </row>
    <row r="37" spans="1:29" ht="21" customHeight="1">
      <c r="A37" s="78" t="s">
        <v>708</v>
      </c>
      <c r="B37" s="79">
        <v>2024</v>
      </c>
      <c r="C37" s="78" t="s">
        <v>3</v>
      </c>
      <c r="D37" s="78" t="s">
        <v>154</v>
      </c>
      <c r="E37" s="78" t="s">
        <v>151</v>
      </c>
      <c r="F37" s="78" t="s">
        <v>208</v>
      </c>
      <c r="G37" s="78" t="s">
        <v>209</v>
      </c>
      <c r="H37" s="78" t="s">
        <v>212</v>
      </c>
      <c r="I37" s="78" t="s">
        <v>213</v>
      </c>
      <c r="J37" s="78" t="s">
        <v>38</v>
      </c>
      <c r="K37" s="78" t="s">
        <v>72</v>
      </c>
      <c r="L37" s="78" t="s">
        <v>165</v>
      </c>
      <c r="M37" s="78" t="s">
        <v>40</v>
      </c>
      <c r="N37" s="80">
        <v>1750421612</v>
      </c>
      <c r="O37" s="80"/>
      <c r="P37" s="80"/>
      <c r="Q37" s="80">
        <v>0</v>
      </c>
      <c r="R37" s="80">
        <v>0</v>
      </c>
      <c r="S37" s="80">
        <v>1750421612</v>
      </c>
      <c r="T37" s="80">
        <v>1004310300</v>
      </c>
      <c r="U37" s="80">
        <v>746111312</v>
      </c>
      <c r="V37" s="80">
        <v>473132100</v>
      </c>
      <c r="W37" s="80">
        <v>32900700</v>
      </c>
      <c r="X37" s="80">
        <v>32900700</v>
      </c>
      <c r="Y37" s="80">
        <v>27419700</v>
      </c>
      <c r="Z37" s="80">
        <v>0</v>
      </c>
      <c r="AA37" s="80">
        <v>0</v>
      </c>
      <c r="AB37" t="str">
        <f t="shared" si="3"/>
        <v>C-0301-1000-39</v>
      </c>
      <c r="AC37" t="str">
        <f t="shared" si="4"/>
        <v>C</v>
      </c>
    </row>
    <row r="38" spans="1:29" ht="21" customHeight="1">
      <c r="A38" s="78" t="s">
        <v>708</v>
      </c>
      <c r="B38" s="79">
        <v>2024</v>
      </c>
      <c r="C38" s="78" t="s">
        <v>3</v>
      </c>
      <c r="D38" s="78" t="s">
        <v>154</v>
      </c>
      <c r="E38" s="78" t="s">
        <v>151</v>
      </c>
      <c r="F38" s="78" t="s">
        <v>208</v>
      </c>
      <c r="G38" s="78" t="s">
        <v>209</v>
      </c>
      <c r="H38" s="78" t="s">
        <v>214</v>
      </c>
      <c r="I38" s="78" t="s">
        <v>215</v>
      </c>
      <c r="J38" s="78" t="s">
        <v>38</v>
      </c>
      <c r="K38" s="78" t="s">
        <v>72</v>
      </c>
      <c r="L38" s="78" t="s">
        <v>165</v>
      </c>
      <c r="M38" s="78" t="s">
        <v>40</v>
      </c>
      <c r="N38" s="80">
        <v>1446444686</v>
      </c>
      <c r="O38" s="80"/>
      <c r="P38" s="80"/>
      <c r="Q38" s="80">
        <v>0</v>
      </c>
      <c r="R38" s="80">
        <v>0</v>
      </c>
      <c r="S38" s="80">
        <v>1446444686</v>
      </c>
      <c r="T38" s="80">
        <v>1283769849</v>
      </c>
      <c r="U38" s="80">
        <v>162674837</v>
      </c>
      <c r="V38" s="80">
        <v>1164426745</v>
      </c>
      <c r="W38" s="80">
        <v>107723662</v>
      </c>
      <c r="X38" s="80">
        <v>107723662</v>
      </c>
      <c r="Y38" s="80">
        <v>107723662</v>
      </c>
      <c r="Z38" s="80">
        <v>0</v>
      </c>
      <c r="AA38" s="80">
        <v>0</v>
      </c>
      <c r="AB38" t="str">
        <f t="shared" si="3"/>
        <v>C-0301-1000-39</v>
      </c>
      <c r="AC38" t="str">
        <f t="shared" si="4"/>
        <v>C</v>
      </c>
    </row>
    <row r="39" spans="1:29" ht="21" customHeight="1">
      <c r="A39" s="78" t="s">
        <v>708</v>
      </c>
      <c r="B39" s="79">
        <v>2024</v>
      </c>
      <c r="C39" s="78" t="s">
        <v>3</v>
      </c>
      <c r="D39" s="78" t="s">
        <v>154</v>
      </c>
      <c r="E39" s="78" t="s">
        <v>151</v>
      </c>
      <c r="F39" s="78" t="s">
        <v>208</v>
      </c>
      <c r="G39" s="78" t="s">
        <v>209</v>
      </c>
      <c r="H39" s="78" t="s">
        <v>216</v>
      </c>
      <c r="I39" s="78" t="s">
        <v>217</v>
      </c>
      <c r="J39" s="78" t="s">
        <v>38</v>
      </c>
      <c r="K39" s="78" t="s">
        <v>72</v>
      </c>
      <c r="L39" s="78" t="s">
        <v>165</v>
      </c>
      <c r="M39" s="78" t="s">
        <v>40</v>
      </c>
      <c r="N39" s="80">
        <v>842277985</v>
      </c>
      <c r="O39" s="80"/>
      <c r="P39" s="80"/>
      <c r="Q39" s="80">
        <v>0</v>
      </c>
      <c r="R39" s="80">
        <v>0</v>
      </c>
      <c r="S39" s="80">
        <v>842277985</v>
      </c>
      <c r="T39" s="80">
        <v>353915880</v>
      </c>
      <c r="U39" s="80">
        <v>488362105</v>
      </c>
      <c r="V39" s="80">
        <v>218582600</v>
      </c>
      <c r="W39" s="80">
        <v>19390202</v>
      </c>
      <c r="X39" s="80">
        <v>19390202</v>
      </c>
      <c r="Y39" s="80">
        <v>11390202</v>
      </c>
      <c r="Z39" s="80">
        <v>0</v>
      </c>
      <c r="AA39" s="80">
        <v>0</v>
      </c>
      <c r="AB39" t="str">
        <f t="shared" si="3"/>
        <v>C-0301-1000-39</v>
      </c>
      <c r="AC39" t="str">
        <f t="shared" si="4"/>
        <v>C</v>
      </c>
    </row>
    <row r="40" spans="1:29" ht="21" customHeight="1">
      <c r="A40" s="78" t="s">
        <v>708</v>
      </c>
      <c r="B40" s="79">
        <v>2024</v>
      </c>
      <c r="C40" s="78" t="s">
        <v>3</v>
      </c>
      <c r="D40" s="78" t="s">
        <v>154</v>
      </c>
      <c r="E40" s="78" t="s">
        <v>151</v>
      </c>
      <c r="F40" s="78" t="s">
        <v>208</v>
      </c>
      <c r="G40" s="78" t="s">
        <v>209</v>
      </c>
      <c r="H40" s="78" t="s">
        <v>218</v>
      </c>
      <c r="I40" s="78" t="s">
        <v>219</v>
      </c>
      <c r="J40" s="78" t="s">
        <v>38</v>
      </c>
      <c r="K40" s="78" t="s">
        <v>72</v>
      </c>
      <c r="L40" s="78" t="s">
        <v>165</v>
      </c>
      <c r="M40" s="78" t="s">
        <v>40</v>
      </c>
      <c r="N40" s="80">
        <v>1320121433</v>
      </c>
      <c r="O40" s="80"/>
      <c r="P40" s="80"/>
      <c r="Q40" s="80">
        <v>0</v>
      </c>
      <c r="R40" s="80">
        <v>0</v>
      </c>
      <c r="S40" s="80">
        <v>1320121433</v>
      </c>
      <c r="T40" s="80">
        <v>725520550</v>
      </c>
      <c r="U40" s="80">
        <v>594600883</v>
      </c>
      <c r="V40" s="80">
        <v>314133700</v>
      </c>
      <c r="W40" s="80">
        <v>6960000</v>
      </c>
      <c r="X40" s="80">
        <v>6960000</v>
      </c>
      <c r="Y40" s="80">
        <v>6960000</v>
      </c>
      <c r="Z40" s="80">
        <v>0</v>
      </c>
      <c r="AA40" s="80">
        <v>0</v>
      </c>
      <c r="AB40" t="str">
        <f t="shared" si="3"/>
        <v>C-0301-1000-39</v>
      </c>
      <c r="AC40" t="str">
        <f t="shared" si="4"/>
        <v>C</v>
      </c>
    </row>
    <row r="41" spans="1:29" ht="21" customHeight="1">
      <c r="A41" s="78" t="s">
        <v>708</v>
      </c>
      <c r="B41" s="79">
        <v>2024</v>
      </c>
      <c r="C41" s="78" t="s">
        <v>3</v>
      </c>
      <c r="D41" s="78" t="s">
        <v>154</v>
      </c>
      <c r="E41" s="78" t="s">
        <v>151</v>
      </c>
      <c r="F41" s="78" t="s">
        <v>208</v>
      </c>
      <c r="G41" s="78" t="s">
        <v>209</v>
      </c>
      <c r="H41" s="78" t="s">
        <v>220</v>
      </c>
      <c r="I41" s="78" t="s">
        <v>221</v>
      </c>
      <c r="J41" s="78" t="s">
        <v>38</v>
      </c>
      <c r="K41" s="78" t="s">
        <v>72</v>
      </c>
      <c r="L41" s="78" t="s">
        <v>165</v>
      </c>
      <c r="M41" s="78" t="s">
        <v>40</v>
      </c>
      <c r="N41" s="80">
        <v>342244000</v>
      </c>
      <c r="O41" s="80"/>
      <c r="P41" s="80"/>
      <c r="Q41" s="80">
        <v>0</v>
      </c>
      <c r="R41" s="80">
        <v>0</v>
      </c>
      <c r="S41" s="80">
        <v>342244000</v>
      </c>
      <c r="T41" s="80">
        <v>0</v>
      </c>
      <c r="U41" s="80">
        <v>342244000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t="str">
        <f t="shared" si="3"/>
        <v>C-0301-1000-39</v>
      </c>
      <c r="AC41" t="str">
        <f t="shared" si="4"/>
        <v>C</v>
      </c>
    </row>
    <row r="42" spans="1:29" ht="21" customHeight="1">
      <c r="A42" s="78" t="s">
        <v>708</v>
      </c>
      <c r="B42" s="79">
        <v>2024</v>
      </c>
      <c r="C42" s="78" t="s">
        <v>3</v>
      </c>
      <c r="D42" s="78" t="s">
        <v>154</v>
      </c>
      <c r="E42" s="78" t="s">
        <v>151</v>
      </c>
      <c r="F42" s="78" t="s">
        <v>222</v>
      </c>
      <c r="G42" s="78" t="s">
        <v>223</v>
      </c>
      <c r="H42" s="78" t="s">
        <v>204</v>
      </c>
      <c r="I42" s="78" t="s">
        <v>205</v>
      </c>
      <c r="J42" s="78" t="s">
        <v>38</v>
      </c>
      <c r="K42" s="78" t="s">
        <v>72</v>
      </c>
      <c r="L42" s="78" t="s">
        <v>165</v>
      </c>
      <c r="M42" s="78" t="s">
        <v>40</v>
      </c>
      <c r="N42" s="80">
        <v>823829305</v>
      </c>
      <c r="O42" s="80"/>
      <c r="P42" s="80"/>
      <c r="Q42" s="80">
        <v>0</v>
      </c>
      <c r="R42" s="80">
        <v>0</v>
      </c>
      <c r="S42" s="80">
        <v>823829305</v>
      </c>
      <c r="T42" s="80">
        <v>823147164</v>
      </c>
      <c r="U42" s="80">
        <v>682141</v>
      </c>
      <c r="V42" s="80">
        <v>818897159</v>
      </c>
      <c r="W42" s="80">
        <v>85905917</v>
      </c>
      <c r="X42" s="80">
        <v>85905917</v>
      </c>
      <c r="Y42" s="80">
        <v>85905917</v>
      </c>
      <c r="Z42" s="80">
        <v>0</v>
      </c>
      <c r="AA42" s="80">
        <v>0</v>
      </c>
      <c r="AB42" t="str">
        <f t="shared" si="3"/>
        <v>C-0301-1000-33</v>
      </c>
      <c r="AC42" t="str">
        <f t="shared" si="4"/>
        <v>C</v>
      </c>
    </row>
    <row r="43" spans="1:29" ht="21" customHeight="1">
      <c r="A43" s="78" t="s">
        <v>708</v>
      </c>
      <c r="B43" s="79">
        <v>2024</v>
      </c>
      <c r="C43" s="78" t="s">
        <v>3</v>
      </c>
      <c r="D43" s="78" t="s">
        <v>154</v>
      </c>
      <c r="E43" s="78" t="s">
        <v>151</v>
      </c>
      <c r="F43" s="78" t="s">
        <v>222</v>
      </c>
      <c r="G43" s="78" t="s">
        <v>223</v>
      </c>
      <c r="H43" s="78" t="s">
        <v>198</v>
      </c>
      <c r="I43" s="78" t="s">
        <v>199</v>
      </c>
      <c r="J43" s="78" t="s">
        <v>38</v>
      </c>
      <c r="K43" s="78" t="s">
        <v>72</v>
      </c>
      <c r="L43" s="78" t="s">
        <v>165</v>
      </c>
      <c r="M43" s="78" t="s">
        <v>40</v>
      </c>
      <c r="N43" s="80">
        <v>1275820696</v>
      </c>
      <c r="O43" s="80"/>
      <c r="P43" s="80"/>
      <c r="Q43" s="80">
        <v>0</v>
      </c>
      <c r="R43" s="80">
        <v>0</v>
      </c>
      <c r="S43" s="80">
        <v>1275820696</v>
      </c>
      <c r="T43" s="80">
        <v>1054569852</v>
      </c>
      <c r="U43" s="80">
        <v>221250844</v>
      </c>
      <c r="V43" s="80">
        <v>928698786</v>
      </c>
      <c r="W43" s="80">
        <v>78980225</v>
      </c>
      <c r="X43" s="80">
        <v>55231873</v>
      </c>
      <c r="Y43" s="80">
        <v>55231873</v>
      </c>
      <c r="Z43" s="80">
        <v>0</v>
      </c>
      <c r="AA43" s="80">
        <v>0</v>
      </c>
      <c r="AB43" t="str">
        <f t="shared" si="3"/>
        <v>C-0301-1000-33</v>
      </c>
      <c r="AC43" t="str">
        <f t="shared" si="4"/>
        <v>C</v>
      </c>
    </row>
    <row r="44" spans="1:29" ht="21" customHeight="1">
      <c r="A44" s="78" t="s">
        <v>708</v>
      </c>
      <c r="B44" s="79">
        <v>2024</v>
      </c>
      <c r="C44" s="78" t="s">
        <v>3</v>
      </c>
      <c r="D44" s="78" t="s">
        <v>154</v>
      </c>
      <c r="E44" s="78" t="s">
        <v>151</v>
      </c>
      <c r="F44" s="78" t="s">
        <v>222</v>
      </c>
      <c r="G44" s="78" t="s">
        <v>223</v>
      </c>
      <c r="H44" s="78" t="s">
        <v>200</v>
      </c>
      <c r="I44" s="78" t="s">
        <v>201</v>
      </c>
      <c r="J44" s="78" t="s">
        <v>38</v>
      </c>
      <c r="K44" s="78" t="s">
        <v>72</v>
      </c>
      <c r="L44" s="78" t="s">
        <v>165</v>
      </c>
      <c r="M44" s="78" t="s">
        <v>40</v>
      </c>
      <c r="N44" s="80">
        <v>94349999</v>
      </c>
      <c r="O44" s="80"/>
      <c r="P44" s="80"/>
      <c r="Q44" s="80">
        <v>0</v>
      </c>
      <c r="R44" s="80">
        <v>0</v>
      </c>
      <c r="S44" s="80">
        <v>94349999</v>
      </c>
      <c r="T44" s="80">
        <v>94349999</v>
      </c>
      <c r="U44" s="80">
        <v>0</v>
      </c>
      <c r="V44" s="80">
        <v>92933324</v>
      </c>
      <c r="W44" s="80">
        <v>4816661</v>
      </c>
      <c r="X44" s="80">
        <v>4816661</v>
      </c>
      <c r="Y44" s="80">
        <v>4816661</v>
      </c>
      <c r="Z44" s="80">
        <v>0</v>
      </c>
      <c r="AA44" s="80">
        <v>0</v>
      </c>
      <c r="AB44" t="str">
        <f t="shared" si="3"/>
        <v>C-0301-1000-33</v>
      </c>
      <c r="AC44" t="str">
        <f t="shared" si="4"/>
        <v>C</v>
      </c>
    </row>
    <row r="45" spans="1:29" ht="21" customHeight="1">
      <c r="A45" s="78" t="s">
        <v>708</v>
      </c>
      <c r="B45" s="79">
        <v>2024</v>
      </c>
      <c r="C45" s="78" t="s">
        <v>3</v>
      </c>
      <c r="D45" s="78" t="s">
        <v>154</v>
      </c>
      <c r="E45" s="78" t="s">
        <v>151</v>
      </c>
      <c r="F45" s="78" t="s">
        <v>224</v>
      </c>
      <c r="G45" s="78" t="s">
        <v>225</v>
      </c>
      <c r="H45" s="78" t="s">
        <v>204</v>
      </c>
      <c r="I45" s="78" t="s">
        <v>205</v>
      </c>
      <c r="J45" s="78" t="s">
        <v>38</v>
      </c>
      <c r="K45" s="78" t="s">
        <v>72</v>
      </c>
      <c r="L45" s="78" t="s">
        <v>165</v>
      </c>
      <c r="M45" s="78" t="s">
        <v>40</v>
      </c>
      <c r="N45" s="80">
        <v>11390751120</v>
      </c>
      <c r="O45" s="80"/>
      <c r="P45" s="80"/>
      <c r="Q45" s="80">
        <v>0</v>
      </c>
      <c r="R45" s="80">
        <v>0</v>
      </c>
      <c r="S45" s="80">
        <v>11390751120</v>
      </c>
      <c r="T45" s="80">
        <v>9242851601</v>
      </c>
      <c r="U45" s="80">
        <v>2147899519</v>
      </c>
      <c r="V45" s="80">
        <v>7573423672</v>
      </c>
      <c r="W45" s="80">
        <f>539770577+13125000</f>
        <v>552895577</v>
      </c>
      <c r="X45" s="80">
        <v>505505577</v>
      </c>
      <c r="Y45" s="80">
        <v>444497827</v>
      </c>
      <c r="Z45" s="80">
        <v>0</v>
      </c>
      <c r="AA45" s="80">
        <v>0</v>
      </c>
      <c r="AB45" t="str">
        <f t="shared" si="3"/>
        <v>C-0301-1000-33</v>
      </c>
      <c r="AC45" t="str">
        <f t="shared" si="4"/>
        <v>C</v>
      </c>
    </row>
    <row r="46" spans="1:29" ht="21" customHeight="1">
      <c r="A46" s="78" t="s">
        <v>708</v>
      </c>
      <c r="B46" s="79">
        <v>2024</v>
      </c>
      <c r="C46" s="78" t="s">
        <v>3</v>
      </c>
      <c r="D46" s="78" t="s">
        <v>154</v>
      </c>
      <c r="E46" s="78" t="s">
        <v>151</v>
      </c>
      <c r="F46" s="78" t="s">
        <v>224</v>
      </c>
      <c r="G46" s="78" t="s">
        <v>225</v>
      </c>
      <c r="H46" s="78" t="s">
        <v>200</v>
      </c>
      <c r="I46" s="78" t="s">
        <v>201</v>
      </c>
      <c r="J46" s="78" t="s">
        <v>38</v>
      </c>
      <c r="K46" s="78" t="s">
        <v>72</v>
      </c>
      <c r="L46" s="78" t="s">
        <v>165</v>
      </c>
      <c r="M46" s="78" t="s">
        <v>40</v>
      </c>
      <c r="N46" s="80">
        <v>5334500000</v>
      </c>
      <c r="O46" s="80"/>
      <c r="P46" s="80"/>
      <c r="Q46" s="80">
        <v>0</v>
      </c>
      <c r="R46" s="80">
        <v>0</v>
      </c>
      <c r="S46" s="80">
        <v>5334500000</v>
      </c>
      <c r="T46" s="80">
        <v>509250000</v>
      </c>
      <c r="U46" s="80">
        <v>4825250000</v>
      </c>
      <c r="V46" s="80">
        <v>504784000</v>
      </c>
      <c r="W46" s="80">
        <v>62524000</v>
      </c>
      <c r="X46" s="80">
        <v>62524000</v>
      </c>
      <c r="Y46" s="80">
        <v>60900000</v>
      </c>
      <c r="Z46" s="80">
        <v>0</v>
      </c>
      <c r="AA46" s="80">
        <v>0</v>
      </c>
      <c r="AB46" t="str">
        <f t="shared" si="3"/>
        <v>C-0301-1000-33</v>
      </c>
      <c r="AC46" t="str">
        <f t="shared" si="4"/>
        <v>C</v>
      </c>
    </row>
    <row r="47" spans="1:29" ht="21" hidden="1" customHeight="1">
      <c r="A47" s="78" t="s">
        <v>708</v>
      </c>
      <c r="B47" s="79">
        <v>2024</v>
      </c>
      <c r="C47" s="78" t="s">
        <v>3</v>
      </c>
      <c r="D47" s="78" t="s">
        <v>154</v>
      </c>
      <c r="E47" s="78" t="s">
        <v>151</v>
      </c>
      <c r="F47" s="78" t="s">
        <v>226</v>
      </c>
      <c r="G47" s="78" t="s">
        <v>227</v>
      </c>
      <c r="H47" s="78" t="s">
        <v>159</v>
      </c>
      <c r="I47" s="78" t="s">
        <v>160</v>
      </c>
      <c r="J47" s="78" t="s">
        <v>38</v>
      </c>
      <c r="K47" s="78" t="s">
        <v>39</v>
      </c>
      <c r="L47" s="78" t="s">
        <v>152</v>
      </c>
      <c r="M47" s="78" t="s">
        <v>40</v>
      </c>
      <c r="N47" s="80">
        <v>422522645</v>
      </c>
      <c r="O47" s="80"/>
      <c r="P47" s="80"/>
      <c r="Q47" s="80">
        <v>0</v>
      </c>
      <c r="R47" s="80">
        <v>0</v>
      </c>
      <c r="S47" s="80">
        <v>422522645</v>
      </c>
      <c r="T47" s="80">
        <v>422500344</v>
      </c>
      <c r="U47" s="80">
        <v>22301</v>
      </c>
      <c r="V47" s="80">
        <v>422500233</v>
      </c>
      <c r="W47" s="80">
        <v>49180233</v>
      </c>
      <c r="X47" s="80">
        <v>49180233</v>
      </c>
      <c r="Y47" s="80">
        <v>22261233</v>
      </c>
      <c r="Z47" s="80">
        <v>0</v>
      </c>
      <c r="AA47" s="80">
        <v>0</v>
      </c>
      <c r="AB47" t="str">
        <f t="shared" si="3"/>
        <v>A-02-02-02-008</v>
      </c>
      <c r="AC47" t="str">
        <f t="shared" si="4"/>
        <v>A</v>
      </c>
    </row>
    <row r="48" spans="1:29" ht="21" customHeight="1">
      <c r="A48" s="78" t="s">
        <v>708</v>
      </c>
      <c r="B48" s="79">
        <v>2024</v>
      </c>
      <c r="C48" s="78" t="s">
        <v>3</v>
      </c>
      <c r="D48" s="78" t="s">
        <v>154</v>
      </c>
      <c r="E48" s="78" t="s">
        <v>151</v>
      </c>
      <c r="F48" s="78" t="s">
        <v>226</v>
      </c>
      <c r="G48" s="78" t="s">
        <v>227</v>
      </c>
      <c r="H48" s="78" t="s">
        <v>198</v>
      </c>
      <c r="I48" s="78" t="s">
        <v>199</v>
      </c>
      <c r="J48" s="78" t="s">
        <v>38</v>
      </c>
      <c r="K48" s="78" t="s">
        <v>72</v>
      </c>
      <c r="L48" s="78" t="s">
        <v>165</v>
      </c>
      <c r="M48" s="78" t="s">
        <v>40</v>
      </c>
      <c r="N48" s="80">
        <v>3412208646</v>
      </c>
      <c r="O48" s="80"/>
      <c r="P48" s="80"/>
      <c r="Q48" s="80">
        <v>0</v>
      </c>
      <c r="R48" s="80">
        <v>0</v>
      </c>
      <c r="S48" s="80">
        <v>3412208646</v>
      </c>
      <c r="T48" s="80">
        <v>2523708646</v>
      </c>
      <c r="U48" s="80">
        <v>888500000</v>
      </c>
      <c r="V48" s="80">
        <v>2479575457</v>
      </c>
      <c r="W48" s="80">
        <v>243071689</v>
      </c>
      <c r="X48" s="80">
        <v>243071689</v>
      </c>
      <c r="Y48" s="80">
        <v>200220222</v>
      </c>
      <c r="Z48" s="80">
        <v>0</v>
      </c>
      <c r="AA48" s="80">
        <v>0</v>
      </c>
      <c r="AB48" t="str">
        <f t="shared" si="3"/>
        <v>C-0301-1000-33</v>
      </c>
      <c r="AC48" t="str">
        <f t="shared" si="4"/>
        <v>C</v>
      </c>
    </row>
    <row r="49" spans="1:29" ht="21" customHeight="1">
      <c r="A49" s="78" t="s">
        <v>708</v>
      </c>
      <c r="B49" s="79">
        <v>2024</v>
      </c>
      <c r="C49" s="78" t="s">
        <v>3</v>
      </c>
      <c r="D49" s="78" t="s">
        <v>154</v>
      </c>
      <c r="E49" s="78" t="s">
        <v>151</v>
      </c>
      <c r="F49" s="78" t="s">
        <v>226</v>
      </c>
      <c r="G49" s="78" t="s">
        <v>227</v>
      </c>
      <c r="H49" s="78" t="s">
        <v>163</v>
      </c>
      <c r="I49" s="78" t="s">
        <v>164</v>
      </c>
      <c r="J49" s="78" t="s">
        <v>38</v>
      </c>
      <c r="K49" s="78" t="s">
        <v>72</v>
      </c>
      <c r="L49" s="78" t="s">
        <v>165</v>
      </c>
      <c r="M49" s="78" t="s">
        <v>40</v>
      </c>
      <c r="N49" s="80">
        <v>0</v>
      </c>
      <c r="O49" s="80"/>
      <c r="P49" s="80"/>
      <c r="Q49" s="80">
        <v>200000000</v>
      </c>
      <c r="R49" s="80">
        <v>0</v>
      </c>
      <c r="S49" s="80">
        <v>200000000</v>
      </c>
      <c r="T49" s="80">
        <v>0</v>
      </c>
      <c r="U49" s="80">
        <v>200000000</v>
      </c>
      <c r="V49" s="80"/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t="str">
        <f t="shared" si="3"/>
        <v>C-0301-1000-35</v>
      </c>
      <c r="AC49" t="str">
        <f t="shared" si="4"/>
        <v>C</v>
      </c>
    </row>
    <row r="50" spans="1:29" ht="21" customHeight="1">
      <c r="A50" s="78" t="s">
        <v>708</v>
      </c>
      <c r="B50" s="79">
        <v>2024</v>
      </c>
      <c r="C50" s="78" t="s">
        <v>3</v>
      </c>
      <c r="D50" s="78" t="s">
        <v>154</v>
      </c>
      <c r="E50" s="78" t="s">
        <v>151</v>
      </c>
      <c r="F50" s="78" t="s">
        <v>228</v>
      </c>
      <c r="G50" s="78" t="s">
        <v>229</v>
      </c>
      <c r="H50" s="78" t="s">
        <v>204</v>
      </c>
      <c r="I50" s="78" t="s">
        <v>205</v>
      </c>
      <c r="J50" s="78" t="s">
        <v>38</v>
      </c>
      <c r="K50" s="78" t="s">
        <v>72</v>
      </c>
      <c r="L50" s="78" t="s">
        <v>165</v>
      </c>
      <c r="M50" s="78" t="s">
        <v>40</v>
      </c>
      <c r="N50" s="80">
        <v>335870000</v>
      </c>
      <c r="O50" s="80"/>
      <c r="P50" s="80"/>
      <c r="Q50" s="80">
        <v>0</v>
      </c>
      <c r="R50" s="80">
        <v>0</v>
      </c>
      <c r="S50" s="80">
        <v>335870000</v>
      </c>
      <c r="T50" s="80">
        <v>327593334</v>
      </c>
      <c r="U50" s="80">
        <v>8276666</v>
      </c>
      <c r="V50" s="80">
        <v>327593334</v>
      </c>
      <c r="W50" s="80">
        <v>27943333</v>
      </c>
      <c r="X50" s="80">
        <v>27943333</v>
      </c>
      <c r="Y50" s="80">
        <v>27943333</v>
      </c>
      <c r="Z50" s="80">
        <v>0</v>
      </c>
      <c r="AA50" s="80">
        <v>0</v>
      </c>
      <c r="AB50" t="str">
        <f t="shared" si="3"/>
        <v>C-0301-1000-33</v>
      </c>
      <c r="AC50" t="str">
        <f t="shared" si="4"/>
        <v>C</v>
      </c>
    </row>
    <row r="51" spans="1:29" ht="21" customHeight="1">
      <c r="A51" s="78" t="s">
        <v>708</v>
      </c>
      <c r="B51" s="79">
        <v>2024</v>
      </c>
      <c r="C51" s="78" t="s">
        <v>3</v>
      </c>
      <c r="D51" s="78" t="s">
        <v>154</v>
      </c>
      <c r="E51" s="78" t="s">
        <v>151</v>
      </c>
      <c r="F51" s="78" t="s">
        <v>228</v>
      </c>
      <c r="G51" s="78" t="s">
        <v>229</v>
      </c>
      <c r="H51" s="78" t="s">
        <v>198</v>
      </c>
      <c r="I51" s="78" t="s">
        <v>199</v>
      </c>
      <c r="J51" s="78" t="s">
        <v>38</v>
      </c>
      <c r="K51" s="78" t="s">
        <v>72</v>
      </c>
      <c r="L51" s="78" t="s">
        <v>165</v>
      </c>
      <c r="M51" s="78" t="s">
        <v>40</v>
      </c>
      <c r="N51" s="80">
        <v>3865650000</v>
      </c>
      <c r="O51" s="80"/>
      <c r="P51" s="80"/>
      <c r="Q51" s="80">
        <v>0</v>
      </c>
      <c r="R51" s="80">
        <v>0</v>
      </c>
      <c r="S51" s="80">
        <v>3865650000</v>
      </c>
      <c r="T51" s="80">
        <v>3770923342</v>
      </c>
      <c r="U51" s="80">
        <v>94726658</v>
      </c>
      <c r="V51" s="80">
        <v>2195523342</v>
      </c>
      <c r="W51" s="80">
        <v>165183322</v>
      </c>
      <c r="X51" s="80">
        <v>163783322</v>
      </c>
      <c r="Y51" s="80">
        <v>152783322</v>
      </c>
      <c r="Z51" s="80">
        <v>0</v>
      </c>
      <c r="AA51" s="80">
        <v>0</v>
      </c>
      <c r="AB51" t="str">
        <f t="shared" si="3"/>
        <v>C-0301-1000-33</v>
      </c>
      <c r="AC51" t="str">
        <f t="shared" si="4"/>
        <v>C</v>
      </c>
    </row>
    <row r="52" spans="1:29" ht="21" customHeight="1">
      <c r="A52" s="78" t="s">
        <v>708</v>
      </c>
      <c r="B52" s="79">
        <v>2024</v>
      </c>
      <c r="C52" s="78" t="s">
        <v>3</v>
      </c>
      <c r="D52" s="78" t="s">
        <v>154</v>
      </c>
      <c r="E52" s="78" t="s">
        <v>151</v>
      </c>
      <c r="F52" s="78" t="s">
        <v>230</v>
      </c>
      <c r="G52" s="78" t="s">
        <v>231</v>
      </c>
      <c r="H52" s="78" t="s">
        <v>204</v>
      </c>
      <c r="I52" s="78" t="s">
        <v>205</v>
      </c>
      <c r="J52" s="78" t="s">
        <v>38</v>
      </c>
      <c r="K52" s="78" t="s">
        <v>72</v>
      </c>
      <c r="L52" s="78" t="s">
        <v>165</v>
      </c>
      <c r="M52" s="78" t="s">
        <v>40</v>
      </c>
      <c r="N52" s="80">
        <v>2663186208</v>
      </c>
      <c r="O52" s="80"/>
      <c r="P52" s="80"/>
      <c r="Q52" s="80">
        <v>0</v>
      </c>
      <c r="R52" s="80">
        <v>0</v>
      </c>
      <c r="S52" s="80">
        <v>2663186208</v>
      </c>
      <c r="T52" s="80">
        <v>2555644220</v>
      </c>
      <c r="U52" s="80">
        <v>107541988</v>
      </c>
      <c r="V52" s="80">
        <v>1620471885</v>
      </c>
      <c r="W52" s="80">
        <v>106542522</v>
      </c>
      <c r="X52" s="80">
        <v>106542522</v>
      </c>
      <c r="Y52" s="80">
        <v>106542522</v>
      </c>
      <c r="Z52" s="80">
        <v>0</v>
      </c>
      <c r="AA52" s="80">
        <v>0</v>
      </c>
      <c r="AB52" t="str">
        <f t="shared" si="3"/>
        <v>C-0301-1000-33</v>
      </c>
      <c r="AC52" t="str">
        <f t="shared" si="4"/>
        <v>C</v>
      </c>
    </row>
    <row r="53" spans="1:29" ht="21" customHeight="1">
      <c r="A53" s="78" t="s">
        <v>708</v>
      </c>
      <c r="B53" s="79">
        <v>2024</v>
      </c>
      <c r="C53" s="78" t="s">
        <v>3</v>
      </c>
      <c r="D53" s="78" t="s">
        <v>154</v>
      </c>
      <c r="E53" s="78" t="s">
        <v>151</v>
      </c>
      <c r="F53" s="78" t="s">
        <v>230</v>
      </c>
      <c r="G53" s="78" t="s">
        <v>231</v>
      </c>
      <c r="H53" s="78" t="s">
        <v>198</v>
      </c>
      <c r="I53" s="78" t="s">
        <v>199</v>
      </c>
      <c r="J53" s="78" t="s">
        <v>38</v>
      </c>
      <c r="K53" s="78" t="s">
        <v>72</v>
      </c>
      <c r="L53" s="78" t="s">
        <v>165</v>
      </c>
      <c r="M53" s="78" t="s">
        <v>40</v>
      </c>
      <c r="N53" s="80">
        <v>2066372459</v>
      </c>
      <c r="O53" s="80"/>
      <c r="P53" s="80"/>
      <c r="Q53" s="80">
        <v>0</v>
      </c>
      <c r="R53" s="80">
        <v>0</v>
      </c>
      <c r="S53" s="80">
        <v>2066372459</v>
      </c>
      <c r="T53" s="80">
        <v>1680396472</v>
      </c>
      <c r="U53" s="80">
        <v>385975987</v>
      </c>
      <c r="V53" s="80">
        <v>1660775126</v>
      </c>
      <c r="W53" s="80">
        <v>99470495</v>
      </c>
      <c r="X53" s="80">
        <v>96070495</v>
      </c>
      <c r="Y53" s="80">
        <v>90207295</v>
      </c>
      <c r="Z53" s="80">
        <v>0</v>
      </c>
      <c r="AA53" s="80">
        <v>0</v>
      </c>
      <c r="AB53" t="str">
        <f t="shared" si="3"/>
        <v>C-0301-1000-33</v>
      </c>
      <c r="AC53" t="str">
        <f t="shared" si="4"/>
        <v>C</v>
      </c>
    </row>
    <row r="54" spans="1:29" ht="21" customHeight="1">
      <c r="A54" s="78" t="s">
        <v>708</v>
      </c>
      <c r="B54" s="79">
        <v>2024</v>
      </c>
      <c r="C54" s="78" t="s">
        <v>3</v>
      </c>
      <c r="D54" s="78" t="s">
        <v>154</v>
      </c>
      <c r="E54" s="78" t="s">
        <v>151</v>
      </c>
      <c r="F54" s="78" t="s">
        <v>232</v>
      </c>
      <c r="G54" s="78" t="s">
        <v>233</v>
      </c>
      <c r="H54" s="78" t="s">
        <v>198</v>
      </c>
      <c r="I54" s="78" t="s">
        <v>199</v>
      </c>
      <c r="J54" s="78" t="s">
        <v>38</v>
      </c>
      <c r="K54" s="78" t="s">
        <v>72</v>
      </c>
      <c r="L54" s="78" t="s">
        <v>165</v>
      </c>
      <c r="M54" s="78" t="s">
        <v>40</v>
      </c>
      <c r="N54" s="80">
        <v>4344855612</v>
      </c>
      <c r="O54" s="80"/>
      <c r="P54" s="80"/>
      <c r="Q54" s="80">
        <v>0</v>
      </c>
      <c r="R54" s="80">
        <v>0</v>
      </c>
      <c r="S54" s="80">
        <v>4344855612</v>
      </c>
      <c r="T54" s="80">
        <v>3463506189</v>
      </c>
      <c r="U54" s="80">
        <v>881349423</v>
      </c>
      <c r="V54" s="80">
        <v>3207358413</v>
      </c>
      <c r="W54" s="80">
        <v>267442018</v>
      </c>
      <c r="X54" s="80">
        <v>248029198</v>
      </c>
      <c r="Y54" s="80">
        <v>218158693</v>
      </c>
      <c r="Z54" s="80">
        <v>0</v>
      </c>
      <c r="AA54" s="80">
        <v>0</v>
      </c>
      <c r="AB54" t="str">
        <f t="shared" si="3"/>
        <v>C-0301-1000-33</v>
      </c>
      <c r="AC54" t="str">
        <f t="shared" si="4"/>
        <v>C</v>
      </c>
    </row>
    <row r="55" spans="1:29" ht="21" hidden="1" customHeight="1">
      <c r="A55" s="78" t="s">
        <v>708</v>
      </c>
      <c r="B55" s="79">
        <v>2024</v>
      </c>
      <c r="C55" s="78" t="s">
        <v>3</v>
      </c>
      <c r="D55" s="78" t="s">
        <v>154</v>
      </c>
      <c r="E55" s="78" t="s">
        <v>151</v>
      </c>
      <c r="F55" s="78" t="s">
        <v>234</v>
      </c>
      <c r="G55" s="78" t="s">
        <v>235</v>
      </c>
      <c r="H55" s="78" t="s">
        <v>157</v>
      </c>
      <c r="I55" s="78" t="s">
        <v>158</v>
      </c>
      <c r="J55" s="78" t="s">
        <v>38</v>
      </c>
      <c r="K55" s="78" t="s">
        <v>39</v>
      </c>
      <c r="L55" s="78" t="s">
        <v>152</v>
      </c>
      <c r="M55" s="78" t="s">
        <v>40</v>
      </c>
      <c r="N55" s="80">
        <v>796364080</v>
      </c>
      <c r="O55" s="80">
        <v>0</v>
      </c>
      <c r="P55" s="80">
        <v>50000000</v>
      </c>
      <c r="Q55" s="80">
        <v>0</v>
      </c>
      <c r="R55" s="80">
        <v>0</v>
      </c>
      <c r="S55" s="80">
        <v>746364080</v>
      </c>
      <c r="T55" s="80">
        <v>571824000</v>
      </c>
      <c r="U55" s="80">
        <v>174540080</v>
      </c>
      <c r="V55" s="80">
        <v>565488000</v>
      </c>
      <c r="W55" s="80">
        <v>89100000</v>
      </c>
      <c r="X55" s="80">
        <v>65340000</v>
      </c>
      <c r="Y55" s="80">
        <v>65340000</v>
      </c>
      <c r="Z55" s="80">
        <v>0</v>
      </c>
      <c r="AA55" s="80">
        <v>0</v>
      </c>
      <c r="AB55" t="str">
        <f t="shared" si="3"/>
        <v>A-02-02-02-008</v>
      </c>
      <c r="AC55" t="str">
        <f t="shared" si="4"/>
        <v>A</v>
      </c>
    </row>
    <row r="56" spans="1:29" ht="21" hidden="1" customHeight="1">
      <c r="A56" s="78" t="s">
        <v>708</v>
      </c>
      <c r="B56" s="79">
        <v>2024</v>
      </c>
      <c r="C56" s="78" t="s">
        <v>3</v>
      </c>
      <c r="D56" s="78" t="s">
        <v>154</v>
      </c>
      <c r="E56" s="78" t="s">
        <v>151</v>
      </c>
      <c r="F56" s="78" t="s">
        <v>234</v>
      </c>
      <c r="G56" s="78" t="s">
        <v>235</v>
      </c>
      <c r="H56" s="78" t="s">
        <v>159</v>
      </c>
      <c r="I56" s="78" t="s">
        <v>160</v>
      </c>
      <c r="J56" s="78" t="s">
        <v>38</v>
      </c>
      <c r="K56" s="78" t="s">
        <v>39</v>
      </c>
      <c r="L56" s="78" t="s">
        <v>152</v>
      </c>
      <c r="M56" s="78" t="s">
        <v>40</v>
      </c>
      <c r="N56" s="80">
        <v>157049127</v>
      </c>
      <c r="O56" s="80"/>
      <c r="P56" s="80"/>
      <c r="Q56" s="80">
        <v>0</v>
      </c>
      <c r="R56" s="80">
        <v>0</v>
      </c>
      <c r="S56" s="80">
        <v>157049127</v>
      </c>
      <c r="T56" s="80">
        <v>142956000</v>
      </c>
      <c r="U56" s="80">
        <v>14093127</v>
      </c>
      <c r="V56" s="80">
        <v>141372000</v>
      </c>
      <c r="W56" s="80">
        <v>22572000</v>
      </c>
      <c r="X56" s="80">
        <v>22572000</v>
      </c>
      <c r="Y56" s="80">
        <v>22572000</v>
      </c>
      <c r="Z56" s="80">
        <v>0</v>
      </c>
      <c r="AA56" s="80">
        <v>0</v>
      </c>
      <c r="AB56" t="str">
        <f t="shared" si="3"/>
        <v>A-02-02-02-008</v>
      </c>
      <c r="AC56" t="str">
        <f t="shared" si="4"/>
        <v>A</v>
      </c>
    </row>
    <row r="57" spans="1:29" ht="21" customHeight="1">
      <c r="A57" s="78" t="s">
        <v>708</v>
      </c>
      <c r="B57" s="79">
        <v>2024</v>
      </c>
      <c r="C57" s="78" t="s">
        <v>3</v>
      </c>
      <c r="D57" s="78" t="s">
        <v>154</v>
      </c>
      <c r="E57" s="78" t="s">
        <v>151</v>
      </c>
      <c r="F57" s="78" t="s">
        <v>234</v>
      </c>
      <c r="G57" s="78" t="s">
        <v>235</v>
      </c>
      <c r="H57" s="78" t="s">
        <v>186</v>
      </c>
      <c r="I57" s="78" t="s">
        <v>187</v>
      </c>
      <c r="J57" s="78" t="s">
        <v>38</v>
      </c>
      <c r="K57" s="78" t="s">
        <v>72</v>
      </c>
      <c r="L57" s="78" t="s">
        <v>165</v>
      </c>
      <c r="M57" s="78" t="s">
        <v>40</v>
      </c>
      <c r="N57" s="80">
        <v>2302633475</v>
      </c>
      <c r="O57" s="80"/>
      <c r="P57" s="80"/>
      <c r="Q57" s="80">
        <v>0</v>
      </c>
      <c r="R57" s="80">
        <v>0</v>
      </c>
      <c r="S57" s="80">
        <v>2302633475</v>
      </c>
      <c r="T57" s="80">
        <v>256676000</v>
      </c>
      <c r="U57" s="80">
        <v>2045957475</v>
      </c>
      <c r="V57" s="80">
        <v>235075000</v>
      </c>
      <c r="W57" s="80">
        <v>25008333</v>
      </c>
      <c r="X57" s="80">
        <v>25008333</v>
      </c>
      <c r="Y57" s="80">
        <v>25008333</v>
      </c>
      <c r="Z57" s="80">
        <v>0</v>
      </c>
      <c r="AA57" s="80">
        <v>0</v>
      </c>
      <c r="AB57" t="str">
        <f t="shared" si="3"/>
        <v>C-0399-1000-9-</v>
      </c>
      <c r="AC57" t="str">
        <f t="shared" si="4"/>
        <v>C</v>
      </c>
    </row>
    <row r="58" spans="1:29" ht="21" hidden="1" customHeight="1">
      <c r="A58" s="78" t="s">
        <v>708</v>
      </c>
      <c r="B58" s="79">
        <v>2024</v>
      </c>
      <c r="C58" s="78" t="s">
        <v>3</v>
      </c>
      <c r="D58" s="78" t="s">
        <v>154</v>
      </c>
      <c r="E58" s="78" t="s">
        <v>151</v>
      </c>
      <c r="F58" s="78" t="s">
        <v>236</v>
      </c>
      <c r="G58" s="78" t="s">
        <v>237</v>
      </c>
      <c r="H58" s="78" t="s">
        <v>238</v>
      </c>
      <c r="I58" s="78" t="s">
        <v>239</v>
      </c>
      <c r="J58" s="78" t="s">
        <v>38</v>
      </c>
      <c r="K58" s="78" t="s">
        <v>39</v>
      </c>
      <c r="L58" s="78" t="s">
        <v>152</v>
      </c>
      <c r="M58" s="78" t="s">
        <v>40</v>
      </c>
      <c r="N58" s="80">
        <v>68695200</v>
      </c>
      <c r="O58" s="80">
        <v>0</v>
      </c>
      <c r="P58" s="80">
        <v>30000000</v>
      </c>
      <c r="Q58" s="80">
        <v>0</v>
      </c>
      <c r="R58" s="80">
        <v>0</v>
      </c>
      <c r="S58" s="80">
        <v>38695200</v>
      </c>
      <c r="T58" s="80">
        <v>0</v>
      </c>
      <c r="U58" s="80">
        <v>38695200</v>
      </c>
      <c r="V58" s="80"/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t="str">
        <f t="shared" si="3"/>
        <v>A-02-02-01-003</v>
      </c>
      <c r="AC58" t="str">
        <f t="shared" si="4"/>
        <v>A</v>
      </c>
    </row>
    <row r="59" spans="1:29" ht="21" hidden="1" customHeight="1">
      <c r="A59" s="78" t="s">
        <v>708</v>
      </c>
      <c r="B59" s="79">
        <v>2024</v>
      </c>
      <c r="C59" s="78" t="s">
        <v>3</v>
      </c>
      <c r="D59" s="78" t="s">
        <v>154</v>
      </c>
      <c r="E59" s="78" t="s">
        <v>151</v>
      </c>
      <c r="F59" s="78" t="s">
        <v>236</v>
      </c>
      <c r="G59" s="78" t="s">
        <v>237</v>
      </c>
      <c r="H59" s="78" t="s">
        <v>240</v>
      </c>
      <c r="I59" s="78" t="s">
        <v>241</v>
      </c>
      <c r="J59" s="78" t="s">
        <v>38</v>
      </c>
      <c r="K59" s="78" t="s">
        <v>39</v>
      </c>
      <c r="L59" s="78" t="s">
        <v>152</v>
      </c>
      <c r="M59" s="78" t="s">
        <v>40</v>
      </c>
      <c r="N59" s="80">
        <v>132000000</v>
      </c>
      <c r="O59" s="80">
        <v>0</v>
      </c>
      <c r="P59" s="80">
        <v>30879864</v>
      </c>
      <c r="Q59" s="80">
        <v>0</v>
      </c>
      <c r="R59" s="80">
        <v>0</v>
      </c>
      <c r="S59" s="80">
        <v>101120136</v>
      </c>
      <c r="T59" s="80">
        <v>101120136</v>
      </c>
      <c r="U59" s="80">
        <v>0</v>
      </c>
      <c r="V59" s="80">
        <v>101120136</v>
      </c>
      <c r="W59" s="80">
        <v>10052710</v>
      </c>
      <c r="X59" s="80">
        <v>10052710</v>
      </c>
      <c r="Y59" s="80">
        <v>10052710</v>
      </c>
      <c r="Z59" s="80">
        <v>0</v>
      </c>
      <c r="AA59" s="80">
        <v>0</v>
      </c>
      <c r="AB59" t="str">
        <f t="shared" si="3"/>
        <v>A-02-02-01-003</v>
      </c>
      <c r="AC59" t="str">
        <f t="shared" si="4"/>
        <v>A</v>
      </c>
    </row>
    <row r="60" spans="1:29" ht="21" hidden="1" customHeight="1">
      <c r="A60" s="78" t="s">
        <v>708</v>
      </c>
      <c r="B60" s="79">
        <v>2024</v>
      </c>
      <c r="C60" s="78" t="s">
        <v>3</v>
      </c>
      <c r="D60" s="78" t="s">
        <v>154</v>
      </c>
      <c r="E60" s="78" t="s">
        <v>151</v>
      </c>
      <c r="F60" s="78" t="s">
        <v>236</v>
      </c>
      <c r="G60" s="78" t="s">
        <v>237</v>
      </c>
      <c r="H60" s="78" t="s">
        <v>242</v>
      </c>
      <c r="I60" s="78" t="s">
        <v>243</v>
      </c>
      <c r="J60" s="78" t="s">
        <v>38</v>
      </c>
      <c r="K60" s="78" t="s">
        <v>39</v>
      </c>
      <c r="L60" s="78" t="s">
        <v>152</v>
      </c>
      <c r="M60" s="78" t="s">
        <v>40</v>
      </c>
      <c r="N60" s="80">
        <v>259413712</v>
      </c>
      <c r="O60" s="80">
        <v>0</v>
      </c>
      <c r="P60" s="80">
        <v>68366969</v>
      </c>
      <c r="Q60" s="80">
        <v>0</v>
      </c>
      <c r="R60" s="80">
        <v>0</v>
      </c>
      <c r="S60" s="80">
        <v>191046743</v>
      </c>
      <c r="T60" s="80">
        <v>57171063</v>
      </c>
      <c r="U60" s="80">
        <v>133875680</v>
      </c>
      <c r="V60" s="80">
        <v>57171063</v>
      </c>
      <c r="W60" s="80">
        <v>7743214</v>
      </c>
      <c r="X60" s="80">
        <v>7743214</v>
      </c>
      <c r="Y60" s="80">
        <v>7743214</v>
      </c>
      <c r="Z60" s="80">
        <v>0</v>
      </c>
      <c r="AA60" s="80">
        <v>0</v>
      </c>
      <c r="AB60" t="str">
        <f t="shared" si="3"/>
        <v>A-02-02-01-003</v>
      </c>
      <c r="AC60" t="str">
        <f t="shared" si="4"/>
        <v>A</v>
      </c>
    </row>
    <row r="61" spans="1:29" ht="21" hidden="1" customHeight="1">
      <c r="A61" s="78" t="s">
        <v>708</v>
      </c>
      <c r="B61" s="79">
        <v>2024</v>
      </c>
      <c r="C61" s="78" t="s">
        <v>3</v>
      </c>
      <c r="D61" s="78" t="s">
        <v>154</v>
      </c>
      <c r="E61" s="78" t="s">
        <v>151</v>
      </c>
      <c r="F61" s="78" t="s">
        <v>236</v>
      </c>
      <c r="G61" s="78" t="s">
        <v>237</v>
      </c>
      <c r="H61" s="78" t="s">
        <v>244</v>
      </c>
      <c r="I61" s="78" t="s">
        <v>245</v>
      </c>
      <c r="J61" s="78" t="s">
        <v>38</v>
      </c>
      <c r="K61" s="78" t="s">
        <v>39</v>
      </c>
      <c r="L61" s="78" t="s">
        <v>152</v>
      </c>
      <c r="M61" s="78" t="s">
        <v>40</v>
      </c>
      <c r="N61" s="80">
        <v>387180116</v>
      </c>
      <c r="O61" s="80">
        <v>0</v>
      </c>
      <c r="P61" s="80">
        <v>107815546</v>
      </c>
      <c r="Q61" s="80">
        <v>0</v>
      </c>
      <c r="R61" s="80">
        <v>0</v>
      </c>
      <c r="S61" s="80">
        <v>279364570</v>
      </c>
      <c r="T61" s="80">
        <v>142786472.25</v>
      </c>
      <c r="U61" s="80">
        <v>136578097.75</v>
      </c>
      <c r="V61" s="80">
        <v>130661117.25</v>
      </c>
      <c r="W61" s="80">
        <v>236948.81</v>
      </c>
      <c r="X61" s="80">
        <v>236948.81</v>
      </c>
      <c r="Y61" s="80">
        <v>236948.81</v>
      </c>
      <c r="Z61" s="80">
        <v>0</v>
      </c>
      <c r="AA61" s="80">
        <v>0</v>
      </c>
      <c r="AB61" t="str">
        <f t="shared" si="3"/>
        <v>A-02-02-02-006</v>
      </c>
      <c r="AC61" t="str">
        <f t="shared" si="4"/>
        <v>A</v>
      </c>
    </row>
    <row r="62" spans="1:29" ht="21" hidden="1" customHeight="1">
      <c r="A62" s="78" t="s">
        <v>708</v>
      </c>
      <c r="B62" s="79">
        <v>2024</v>
      </c>
      <c r="C62" s="78" t="s">
        <v>3</v>
      </c>
      <c r="D62" s="78" t="s">
        <v>154</v>
      </c>
      <c r="E62" s="78" t="s">
        <v>151</v>
      </c>
      <c r="F62" s="78" t="s">
        <v>236</v>
      </c>
      <c r="G62" s="78" t="s">
        <v>237</v>
      </c>
      <c r="H62" s="78" t="s">
        <v>246</v>
      </c>
      <c r="I62" s="78" t="s">
        <v>247</v>
      </c>
      <c r="J62" s="78" t="s">
        <v>38</v>
      </c>
      <c r="K62" s="78" t="s">
        <v>39</v>
      </c>
      <c r="L62" s="78" t="s">
        <v>152</v>
      </c>
      <c r="M62" s="78" t="s">
        <v>40</v>
      </c>
      <c r="N62" s="80">
        <v>392546630</v>
      </c>
      <c r="O62" s="80">
        <v>152549491</v>
      </c>
      <c r="P62" s="80">
        <v>239046121</v>
      </c>
      <c r="Q62" s="80">
        <v>0</v>
      </c>
      <c r="R62" s="80">
        <v>0</v>
      </c>
      <c r="S62" s="80">
        <v>306050000</v>
      </c>
      <c r="T62" s="80">
        <v>6050000</v>
      </c>
      <c r="U62" s="80">
        <v>300000000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t="str">
        <f t="shared" si="3"/>
        <v>A-02-02-02-006</v>
      </c>
      <c r="AC62" t="str">
        <f t="shared" si="4"/>
        <v>A</v>
      </c>
    </row>
    <row r="63" spans="1:29" ht="21" hidden="1" customHeight="1">
      <c r="A63" s="78" t="s">
        <v>708</v>
      </c>
      <c r="B63" s="79">
        <v>2024</v>
      </c>
      <c r="C63" s="78" t="s">
        <v>3</v>
      </c>
      <c r="D63" s="78" t="s">
        <v>154</v>
      </c>
      <c r="E63" s="78" t="s">
        <v>151</v>
      </c>
      <c r="F63" s="78" t="s">
        <v>236</v>
      </c>
      <c r="G63" s="78" t="s">
        <v>237</v>
      </c>
      <c r="H63" s="78" t="s">
        <v>248</v>
      </c>
      <c r="I63" s="78" t="s">
        <v>249</v>
      </c>
      <c r="J63" s="78" t="s">
        <v>38</v>
      </c>
      <c r="K63" s="78" t="s">
        <v>39</v>
      </c>
      <c r="L63" s="78" t="s">
        <v>152</v>
      </c>
      <c r="M63" s="78" t="s">
        <v>40</v>
      </c>
      <c r="N63" s="80">
        <v>1146999624</v>
      </c>
      <c r="O63" s="80"/>
      <c r="P63" s="80"/>
      <c r="Q63" s="80">
        <v>0</v>
      </c>
      <c r="R63" s="80">
        <v>0</v>
      </c>
      <c r="S63" s="80">
        <v>1146999624</v>
      </c>
      <c r="T63" s="80">
        <v>1146999624</v>
      </c>
      <c r="U63" s="80">
        <v>0</v>
      </c>
      <c r="V63" s="80">
        <v>1146999624</v>
      </c>
      <c r="W63" s="80">
        <v>60004357</v>
      </c>
      <c r="X63" s="80">
        <v>60004357</v>
      </c>
      <c r="Y63" s="80">
        <v>60004357</v>
      </c>
      <c r="Z63" s="80">
        <v>0</v>
      </c>
      <c r="AA63" s="80">
        <v>0</v>
      </c>
      <c r="AB63" t="str">
        <f t="shared" si="3"/>
        <v>A-02-02-02-006</v>
      </c>
      <c r="AC63" t="str">
        <f t="shared" si="4"/>
        <v>A</v>
      </c>
    </row>
    <row r="64" spans="1:29" ht="21" hidden="1" customHeight="1">
      <c r="A64" s="78" t="s">
        <v>708</v>
      </c>
      <c r="B64" s="79">
        <v>2024</v>
      </c>
      <c r="C64" s="78" t="s">
        <v>3</v>
      </c>
      <c r="D64" s="78" t="s">
        <v>154</v>
      </c>
      <c r="E64" s="78" t="s">
        <v>151</v>
      </c>
      <c r="F64" s="78" t="s">
        <v>236</v>
      </c>
      <c r="G64" s="78" t="s">
        <v>237</v>
      </c>
      <c r="H64" s="78" t="s">
        <v>250</v>
      </c>
      <c r="I64" s="78" t="s">
        <v>251</v>
      </c>
      <c r="J64" s="78" t="s">
        <v>38</v>
      </c>
      <c r="K64" s="78" t="s">
        <v>39</v>
      </c>
      <c r="L64" s="78" t="s">
        <v>152</v>
      </c>
      <c r="M64" s="78" t="s">
        <v>40</v>
      </c>
      <c r="N64" s="80">
        <v>692120000</v>
      </c>
      <c r="O64" s="80"/>
      <c r="P64" s="80"/>
      <c r="Q64" s="80">
        <v>0</v>
      </c>
      <c r="R64" s="80">
        <v>0</v>
      </c>
      <c r="S64" s="80">
        <v>692120000</v>
      </c>
      <c r="T64" s="80">
        <v>692120000</v>
      </c>
      <c r="U64" s="80">
        <v>0</v>
      </c>
      <c r="V64" s="80">
        <v>146289463</v>
      </c>
      <c r="W64" s="80">
        <v>144895376</v>
      </c>
      <c r="X64" s="80">
        <v>144895376</v>
      </c>
      <c r="Y64" s="80">
        <v>144895376</v>
      </c>
      <c r="Z64" s="80">
        <v>0</v>
      </c>
      <c r="AA64" s="80">
        <v>0</v>
      </c>
      <c r="AB64" t="str">
        <f t="shared" si="3"/>
        <v>A-02-02-02-006</v>
      </c>
      <c r="AC64" t="str">
        <f t="shared" si="4"/>
        <v>A</v>
      </c>
    </row>
    <row r="65" spans="1:29" ht="21" hidden="1" customHeight="1">
      <c r="A65" s="78" t="s">
        <v>708</v>
      </c>
      <c r="B65" s="79">
        <v>2024</v>
      </c>
      <c r="C65" s="78" t="s">
        <v>3</v>
      </c>
      <c r="D65" s="78" t="s">
        <v>154</v>
      </c>
      <c r="E65" s="78" t="s">
        <v>151</v>
      </c>
      <c r="F65" s="78" t="s">
        <v>236</v>
      </c>
      <c r="G65" s="78" t="s">
        <v>237</v>
      </c>
      <c r="H65" s="78" t="s">
        <v>252</v>
      </c>
      <c r="I65" s="78" t="s">
        <v>253</v>
      </c>
      <c r="J65" s="78" t="s">
        <v>38</v>
      </c>
      <c r="K65" s="78" t="s">
        <v>39</v>
      </c>
      <c r="L65" s="78" t="s">
        <v>152</v>
      </c>
      <c r="M65" s="78" t="s">
        <v>40</v>
      </c>
      <c r="N65" s="80">
        <v>395377712</v>
      </c>
      <c r="O65" s="80">
        <v>0</v>
      </c>
      <c r="P65" s="80">
        <v>265879415</v>
      </c>
      <c r="Q65" s="80">
        <v>0</v>
      </c>
      <c r="R65" s="80">
        <v>0</v>
      </c>
      <c r="S65" s="80">
        <v>129498297</v>
      </c>
      <c r="T65" s="80">
        <v>129498297</v>
      </c>
      <c r="U65" s="80">
        <v>0</v>
      </c>
      <c r="V65" s="80">
        <v>129498297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t="str">
        <f t="shared" si="3"/>
        <v>A-02-02-02-007</v>
      </c>
      <c r="AC65" t="str">
        <f t="shared" si="4"/>
        <v>A</v>
      </c>
    </row>
    <row r="66" spans="1:29" ht="21" hidden="1" customHeight="1">
      <c r="A66" s="78" t="s">
        <v>708</v>
      </c>
      <c r="B66" s="79">
        <v>2024</v>
      </c>
      <c r="C66" s="78" t="s">
        <v>3</v>
      </c>
      <c r="D66" s="78" t="s">
        <v>154</v>
      </c>
      <c r="E66" s="78" t="s">
        <v>151</v>
      </c>
      <c r="F66" s="78" t="s">
        <v>236</v>
      </c>
      <c r="G66" s="78" t="s">
        <v>237</v>
      </c>
      <c r="H66" s="78" t="s">
        <v>254</v>
      </c>
      <c r="I66" s="78" t="s">
        <v>255</v>
      </c>
      <c r="J66" s="78" t="s">
        <v>38</v>
      </c>
      <c r="K66" s="78" t="s">
        <v>39</v>
      </c>
      <c r="L66" s="78" t="s">
        <v>152</v>
      </c>
      <c r="M66" s="78" t="s">
        <v>40</v>
      </c>
      <c r="N66" s="80">
        <v>3274330948</v>
      </c>
      <c r="O66" s="80"/>
      <c r="P66" s="80"/>
      <c r="Q66" s="80">
        <v>0</v>
      </c>
      <c r="R66" s="80">
        <v>0</v>
      </c>
      <c r="S66" s="80">
        <v>3274330948</v>
      </c>
      <c r="T66" s="80">
        <v>3169348737</v>
      </c>
      <c r="U66" s="80">
        <v>104982211</v>
      </c>
      <c r="V66" s="80">
        <v>2834319402</v>
      </c>
      <c r="W66" s="80">
        <v>713100003</v>
      </c>
      <c r="X66" s="80">
        <v>690420199</v>
      </c>
      <c r="Y66" s="80">
        <v>558625199</v>
      </c>
      <c r="Z66" s="80">
        <v>0</v>
      </c>
      <c r="AA66" s="80">
        <v>0</v>
      </c>
      <c r="AB66" t="str">
        <f t="shared" si="3"/>
        <v>A-02-02-02-007</v>
      </c>
      <c r="AC66" t="str">
        <f t="shared" si="4"/>
        <v>A</v>
      </c>
    </row>
    <row r="67" spans="1:29" ht="21" hidden="1" customHeight="1">
      <c r="A67" s="78" t="s">
        <v>708</v>
      </c>
      <c r="B67" s="79">
        <v>2024</v>
      </c>
      <c r="C67" s="78" t="s">
        <v>3</v>
      </c>
      <c r="D67" s="78" t="s">
        <v>154</v>
      </c>
      <c r="E67" s="78" t="s">
        <v>151</v>
      </c>
      <c r="F67" s="78" t="s">
        <v>236</v>
      </c>
      <c r="G67" s="78" t="s">
        <v>237</v>
      </c>
      <c r="H67" s="78" t="s">
        <v>157</v>
      </c>
      <c r="I67" s="78" t="s">
        <v>158</v>
      </c>
      <c r="J67" s="78" t="s">
        <v>38</v>
      </c>
      <c r="K67" s="78" t="s">
        <v>39</v>
      </c>
      <c r="L67" s="78" t="s">
        <v>152</v>
      </c>
      <c r="M67" s="78" t="s">
        <v>40</v>
      </c>
      <c r="N67" s="80">
        <v>257040000</v>
      </c>
      <c r="O67" s="80"/>
      <c r="P67" s="80"/>
      <c r="Q67" s="80">
        <v>0</v>
      </c>
      <c r="R67" s="80">
        <v>0</v>
      </c>
      <c r="S67" s="80">
        <v>257040000</v>
      </c>
      <c r="T67" s="80">
        <v>257040000</v>
      </c>
      <c r="U67" s="80">
        <v>0</v>
      </c>
      <c r="V67" s="80">
        <v>257040000</v>
      </c>
      <c r="W67" s="80">
        <v>41040000</v>
      </c>
      <c r="X67" s="80">
        <v>41040000</v>
      </c>
      <c r="Y67" s="80">
        <v>41040000</v>
      </c>
      <c r="Z67" s="80">
        <v>0</v>
      </c>
      <c r="AA67" s="80">
        <v>0</v>
      </c>
      <c r="AB67" t="str">
        <f t="shared" si="3"/>
        <v>A-02-02-02-008</v>
      </c>
      <c r="AC67" t="str">
        <f t="shared" si="4"/>
        <v>A</v>
      </c>
    </row>
    <row r="68" spans="1:29" ht="21" hidden="1" customHeight="1">
      <c r="A68" s="78" t="s">
        <v>708</v>
      </c>
      <c r="B68" s="79">
        <v>2024</v>
      </c>
      <c r="C68" s="78" t="s">
        <v>3</v>
      </c>
      <c r="D68" s="78" t="s">
        <v>154</v>
      </c>
      <c r="E68" s="78" t="s">
        <v>151</v>
      </c>
      <c r="F68" s="78" t="s">
        <v>236</v>
      </c>
      <c r="G68" s="78" t="s">
        <v>237</v>
      </c>
      <c r="H68" s="78" t="s">
        <v>159</v>
      </c>
      <c r="I68" s="78" t="s">
        <v>160</v>
      </c>
      <c r="J68" s="78" t="s">
        <v>38</v>
      </c>
      <c r="K68" s="78" t="s">
        <v>39</v>
      </c>
      <c r="L68" s="78" t="s">
        <v>152</v>
      </c>
      <c r="M68" s="78" t="s">
        <v>40</v>
      </c>
      <c r="N68" s="80">
        <v>1642308031</v>
      </c>
      <c r="O68" s="80">
        <v>20328000</v>
      </c>
      <c r="P68" s="80">
        <v>96124650</v>
      </c>
      <c r="Q68" s="80">
        <v>0</v>
      </c>
      <c r="R68" s="80">
        <v>0</v>
      </c>
      <c r="S68" s="80">
        <v>1566511381</v>
      </c>
      <c r="T68" s="80">
        <v>1546183381</v>
      </c>
      <c r="U68" s="80">
        <v>20328000</v>
      </c>
      <c r="V68" s="80">
        <v>1545588681</v>
      </c>
      <c r="W68" s="80">
        <v>199247771</v>
      </c>
      <c r="X68" s="80">
        <v>199247771</v>
      </c>
      <c r="Y68" s="80">
        <v>184847171</v>
      </c>
      <c r="Z68" s="80">
        <v>0</v>
      </c>
      <c r="AA68" s="80">
        <v>0</v>
      </c>
      <c r="AB68" t="str">
        <f t="shared" si="3"/>
        <v>A-02-02-02-008</v>
      </c>
      <c r="AC68" t="str">
        <f t="shared" si="4"/>
        <v>A</v>
      </c>
    </row>
    <row r="69" spans="1:29" ht="21" hidden="1" customHeight="1">
      <c r="A69" s="78" t="s">
        <v>708</v>
      </c>
      <c r="B69" s="79">
        <v>2024</v>
      </c>
      <c r="C69" s="78" t="s">
        <v>3</v>
      </c>
      <c r="D69" s="78" t="s">
        <v>154</v>
      </c>
      <c r="E69" s="78" t="s">
        <v>151</v>
      </c>
      <c r="F69" s="78" t="s">
        <v>236</v>
      </c>
      <c r="G69" s="78" t="s">
        <v>237</v>
      </c>
      <c r="H69" s="78" t="s">
        <v>256</v>
      </c>
      <c r="I69" s="78" t="s">
        <v>257</v>
      </c>
      <c r="J69" s="78" t="s">
        <v>38</v>
      </c>
      <c r="K69" s="78" t="s">
        <v>39</v>
      </c>
      <c r="L69" s="78" t="s">
        <v>152</v>
      </c>
      <c r="M69" s="78" t="s">
        <v>40</v>
      </c>
      <c r="N69" s="80">
        <v>1451072583</v>
      </c>
      <c r="O69" s="80">
        <v>0</v>
      </c>
      <c r="P69" s="80">
        <v>3659826</v>
      </c>
      <c r="Q69" s="80">
        <v>0</v>
      </c>
      <c r="R69" s="80">
        <v>0</v>
      </c>
      <c r="S69" s="80">
        <v>1447412757</v>
      </c>
      <c r="T69" s="80">
        <v>1278230162</v>
      </c>
      <c r="U69" s="80">
        <v>169182595</v>
      </c>
      <c r="V69" s="80">
        <v>1039716302</v>
      </c>
      <c r="W69" s="80">
        <v>127700742</v>
      </c>
      <c r="X69" s="80">
        <v>127700742</v>
      </c>
      <c r="Y69" s="80">
        <v>127700742</v>
      </c>
      <c r="Z69" s="80">
        <v>0</v>
      </c>
      <c r="AA69" s="80">
        <v>0</v>
      </c>
      <c r="AB69" t="str">
        <f t="shared" si="3"/>
        <v>A-02-02-02-008</v>
      </c>
      <c r="AC69" t="str">
        <f t="shared" si="4"/>
        <v>A</v>
      </c>
    </row>
    <row r="70" spans="1:29" ht="21" hidden="1" customHeight="1">
      <c r="A70" s="78" t="s">
        <v>708</v>
      </c>
      <c r="B70" s="79">
        <v>2024</v>
      </c>
      <c r="C70" s="78" t="s">
        <v>3</v>
      </c>
      <c r="D70" s="78" t="s">
        <v>154</v>
      </c>
      <c r="E70" s="78" t="s">
        <v>151</v>
      </c>
      <c r="F70" s="78" t="s">
        <v>236</v>
      </c>
      <c r="G70" s="78" t="s">
        <v>237</v>
      </c>
      <c r="H70" s="78" t="s">
        <v>161</v>
      </c>
      <c r="I70" s="78" t="s">
        <v>162</v>
      </c>
      <c r="J70" s="78" t="s">
        <v>38</v>
      </c>
      <c r="K70" s="78" t="s">
        <v>39</v>
      </c>
      <c r="L70" s="78" t="s">
        <v>152</v>
      </c>
      <c r="M70" s="78" t="s">
        <v>40</v>
      </c>
      <c r="N70" s="80">
        <v>2882372406</v>
      </c>
      <c r="O70" s="80">
        <v>784269021</v>
      </c>
      <c r="P70" s="80">
        <v>0</v>
      </c>
      <c r="Q70" s="80">
        <v>0</v>
      </c>
      <c r="R70" s="80">
        <v>0</v>
      </c>
      <c r="S70" s="80">
        <v>3666641427</v>
      </c>
      <c r="T70" s="80">
        <v>2718214505.4499998</v>
      </c>
      <c r="U70" s="80">
        <v>948426921.54999995</v>
      </c>
      <c r="V70" s="80">
        <v>1598701410.45</v>
      </c>
      <c r="W70" s="80">
        <v>219490832.03999999</v>
      </c>
      <c r="X70" s="80">
        <v>219490832.03999999</v>
      </c>
      <c r="Y70" s="80">
        <v>219490832.03999999</v>
      </c>
      <c r="Z70" s="80">
        <v>0</v>
      </c>
      <c r="AA70" s="80">
        <v>0</v>
      </c>
      <c r="AB70" t="str">
        <f t="shared" ref="AB70:AB133" si="5">LEFT(H70,14)</f>
        <v>A-02-02-02-008</v>
      </c>
      <c r="AC70" t="str">
        <f t="shared" ref="AC70:AC133" si="6">LEFT(H70,1)</f>
        <v>A</v>
      </c>
    </row>
    <row r="71" spans="1:29" ht="21" hidden="1" customHeight="1">
      <c r="A71" s="78" t="s">
        <v>708</v>
      </c>
      <c r="B71" s="79">
        <v>2024</v>
      </c>
      <c r="C71" s="78" t="s">
        <v>3</v>
      </c>
      <c r="D71" s="78" t="s">
        <v>154</v>
      </c>
      <c r="E71" s="78" t="s">
        <v>151</v>
      </c>
      <c r="F71" s="78" t="s">
        <v>236</v>
      </c>
      <c r="G71" s="78" t="s">
        <v>237</v>
      </c>
      <c r="H71" s="78" t="s">
        <v>258</v>
      </c>
      <c r="I71" s="78" t="s">
        <v>259</v>
      </c>
      <c r="J71" s="78" t="s">
        <v>38</v>
      </c>
      <c r="K71" s="78" t="s">
        <v>39</v>
      </c>
      <c r="L71" s="78" t="s">
        <v>152</v>
      </c>
      <c r="M71" s="78" t="s">
        <v>40</v>
      </c>
      <c r="N71" s="80">
        <v>511296587</v>
      </c>
      <c r="O71" s="80">
        <v>0</v>
      </c>
      <c r="P71" s="80">
        <v>76328000</v>
      </c>
      <c r="Q71" s="80">
        <v>0</v>
      </c>
      <c r="R71" s="80">
        <v>0</v>
      </c>
      <c r="S71" s="80">
        <v>434968587</v>
      </c>
      <c r="T71" s="80">
        <v>373072953</v>
      </c>
      <c r="U71" s="80">
        <v>61895634</v>
      </c>
      <c r="V71" s="80">
        <v>364157587</v>
      </c>
      <c r="W71" s="80">
        <v>11439575.4</v>
      </c>
      <c r="X71" s="80">
        <v>11439575.4</v>
      </c>
      <c r="Y71" s="80">
        <v>11439575.4</v>
      </c>
      <c r="Z71" s="80">
        <v>0</v>
      </c>
      <c r="AA71" s="80">
        <v>0</v>
      </c>
      <c r="AB71" t="str">
        <f t="shared" si="5"/>
        <v>A-02-02-02-008</v>
      </c>
      <c r="AC71" t="str">
        <f t="shared" si="6"/>
        <v>A</v>
      </c>
    </row>
    <row r="72" spans="1:29" ht="21" hidden="1" customHeight="1">
      <c r="A72" s="78" t="s">
        <v>708</v>
      </c>
      <c r="B72" s="79">
        <v>2024</v>
      </c>
      <c r="C72" s="78" t="s">
        <v>3</v>
      </c>
      <c r="D72" s="78" t="s">
        <v>154</v>
      </c>
      <c r="E72" s="78" t="s">
        <v>151</v>
      </c>
      <c r="F72" s="78" t="s">
        <v>236</v>
      </c>
      <c r="G72" s="78" t="s">
        <v>237</v>
      </c>
      <c r="H72" s="78" t="s">
        <v>260</v>
      </c>
      <c r="I72" s="78" t="s">
        <v>261</v>
      </c>
      <c r="J72" s="78" t="s">
        <v>38</v>
      </c>
      <c r="K72" s="78" t="s">
        <v>39</v>
      </c>
      <c r="L72" s="78" t="s">
        <v>152</v>
      </c>
      <c r="M72" s="78" t="s">
        <v>40</v>
      </c>
      <c r="N72" s="80">
        <v>149737500</v>
      </c>
      <c r="O72" s="80"/>
      <c r="P72" s="80"/>
      <c r="Q72" s="80">
        <v>0</v>
      </c>
      <c r="R72" s="80">
        <v>0</v>
      </c>
      <c r="S72" s="80">
        <v>149737500</v>
      </c>
      <c r="T72" s="80">
        <v>149737500</v>
      </c>
      <c r="U72" s="80">
        <v>0</v>
      </c>
      <c r="V72" s="80">
        <v>17574815</v>
      </c>
      <c r="W72" s="80">
        <v>17562075</v>
      </c>
      <c r="X72" s="80">
        <v>17562075</v>
      </c>
      <c r="Y72" s="80">
        <v>15441525</v>
      </c>
      <c r="Z72" s="80">
        <v>0</v>
      </c>
      <c r="AA72" s="80">
        <v>0</v>
      </c>
      <c r="AB72" t="str">
        <f t="shared" si="5"/>
        <v>A-02-02-02-009</v>
      </c>
      <c r="AC72" t="str">
        <f t="shared" si="6"/>
        <v>A</v>
      </c>
    </row>
    <row r="73" spans="1:29" ht="21" hidden="1" customHeight="1">
      <c r="A73" s="78" t="s">
        <v>708</v>
      </c>
      <c r="B73" s="79">
        <v>2024</v>
      </c>
      <c r="C73" s="78" t="s">
        <v>3</v>
      </c>
      <c r="D73" s="78" t="s">
        <v>154</v>
      </c>
      <c r="E73" s="78" t="s">
        <v>151</v>
      </c>
      <c r="F73" s="78" t="s">
        <v>236</v>
      </c>
      <c r="G73" s="78" t="s">
        <v>237</v>
      </c>
      <c r="H73" s="78" t="s">
        <v>262</v>
      </c>
      <c r="I73" s="78" t="s">
        <v>263</v>
      </c>
      <c r="J73" s="78" t="s">
        <v>38</v>
      </c>
      <c r="K73" s="78" t="s">
        <v>39</v>
      </c>
      <c r="L73" s="78" t="s">
        <v>152</v>
      </c>
      <c r="M73" s="78" t="s">
        <v>40</v>
      </c>
      <c r="N73" s="80">
        <v>1555263</v>
      </c>
      <c r="O73" s="80"/>
      <c r="P73" s="80"/>
      <c r="Q73" s="80">
        <v>0</v>
      </c>
      <c r="R73" s="80">
        <v>0</v>
      </c>
      <c r="S73" s="80">
        <v>1555263</v>
      </c>
      <c r="T73" s="80">
        <v>567800</v>
      </c>
      <c r="U73" s="80">
        <v>987463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t="str">
        <f t="shared" si="5"/>
        <v>A-02-02-02-009</v>
      </c>
      <c r="AC73" t="str">
        <f t="shared" si="6"/>
        <v>A</v>
      </c>
    </row>
    <row r="74" spans="1:29" ht="21" hidden="1" customHeight="1">
      <c r="A74" s="78" t="s">
        <v>708</v>
      </c>
      <c r="B74" s="79">
        <v>2024</v>
      </c>
      <c r="C74" s="78" t="s">
        <v>3</v>
      </c>
      <c r="D74" s="78" t="s">
        <v>154</v>
      </c>
      <c r="E74" s="78" t="s">
        <v>151</v>
      </c>
      <c r="F74" s="78" t="s">
        <v>236</v>
      </c>
      <c r="G74" s="78" t="s">
        <v>237</v>
      </c>
      <c r="H74" s="78" t="s">
        <v>264</v>
      </c>
      <c r="I74" s="78" t="s">
        <v>265</v>
      </c>
      <c r="J74" s="78" t="s">
        <v>38</v>
      </c>
      <c r="K74" s="78" t="s">
        <v>39</v>
      </c>
      <c r="L74" s="78" t="s">
        <v>152</v>
      </c>
      <c r="M74" s="78" t="s">
        <v>40</v>
      </c>
      <c r="N74" s="80">
        <v>1680467414</v>
      </c>
      <c r="O74" s="80">
        <v>0</v>
      </c>
      <c r="P74" s="80">
        <v>1680467414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/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t="str">
        <f t="shared" si="5"/>
        <v>A-02-02-02-010</v>
      </c>
      <c r="AC74" t="str">
        <f t="shared" si="6"/>
        <v>A</v>
      </c>
    </row>
    <row r="75" spans="1:29" ht="21" hidden="1" customHeight="1">
      <c r="A75" s="78" t="s">
        <v>708</v>
      </c>
      <c r="B75" s="79">
        <v>2024</v>
      </c>
      <c r="C75" s="78" t="s">
        <v>3</v>
      </c>
      <c r="D75" s="78" t="s">
        <v>154</v>
      </c>
      <c r="E75" s="78" t="s">
        <v>151</v>
      </c>
      <c r="F75" s="78" t="s">
        <v>236</v>
      </c>
      <c r="G75" s="78" t="s">
        <v>237</v>
      </c>
      <c r="H75" s="78" t="s">
        <v>266</v>
      </c>
      <c r="I75" s="78" t="s">
        <v>267</v>
      </c>
      <c r="J75" s="78" t="s">
        <v>38</v>
      </c>
      <c r="K75" s="78" t="s">
        <v>39</v>
      </c>
      <c r="L75" s="78" t="s">
        <v>152</v>
      </c>
      <c r="M75" s="78" t="s">
        <v>40</v>
      </c>
      <c r="N75" s="80">
        <v>150000000</v>
      </c>
      <c r="O75" s="80">
        <v>4712000</v>
      </c>
      <c r="P75" s="80">
        <v>0</v>
      </c>
      <c r="Q75" s="80">
        <v>0</v>
      </c>
      <c r="R75" s="80">
        <v>0</v>
      </c>
      <c r="S75" s="80">
        <v>154712000</v>
      </c>
      <c r="T75" s="80">
        <v>0</v>
      </c>
      <c r="U75" s="80">
        <v>154712000</v>
      </c>
      <c r="V75" s="80"/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t="str">
        <f t="shared" si="5"/>
        <v>A-08-01-02-001</v>
      </c>
      <c r="AC75" t="str">
        <f t="shared" si="6"/>
        <v>A</v>
      </c>
    </row>
    <row r="76" spans="1:29" ht="21" hidden="1" customHeight="1">
      <c r="A76" s="78" t="s">
        <v>708</v>
      </c>
      <c r="B76" s="79">
        <v>2024</v>
      </c>
      <c r="C76" s="78" t="s">
        <v>3</v>
      </c>
      <c r="D76" s="78" t="s">
        <v>154</v>
      </c>
      <c r="E76" s="78" t="s">
        <v>151</v>
      </c>
      <c r="F76" s="78" t="s">
        <v>236</v>
      </c>
      <c r="G76" s="78" t="s">
        <v>237</v>
      </c>
      <c r="H76" s="78" t="s">
        <v>268</v>
      </c>
      <c r="I76" s="78" t="s">
        <v>269</v>
      </c>
      <c r="J76" s="78" t="s">
        <v>38</v>
      </c>
      <c r="K76" s="78" t="s">
        <v>39</v>
      </c>
      <c r="L76" s="78" t="s">
        <v>152</v>
      </c>
      <c r="M76" s="78" t="s">
        <v>40</v>
      </c>
      <c r="N76" s="80">
        <v>9000000</v>
      </c>
      <c r="O76" s="80">
        <v>0</v>
      </c>
      <c r="P76" s="80">
        <v>4712000</v>
      </c>
      <c r="Q76" s="80">
        <v>0</v>
      </c>
      <c r="R76" s="80">
        <v>0</v>
      </c>
      <c r="S76" s="80">
        <v>4288000</v>
      </c>
      <c r="T76" s="80">
        <v>2523000</v>
      </c>
      <c r="U76" s="80">
        <v>1765000</v>
      </c>
      <c r="V76" s="80">
        <v>2523000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t="str">
        <f t="shared" si="5"/>
        <v>A-08-01-02-006</v>
      </c>
      <c r="AC76" t="str">
        <f t="shared" si="6"/>
        <v>A</v>
      </c>
    </row>
    <row r="77" spans="1:29" ht="21" customHeight="1">
      <c r="A77" s="78" t="s">
        <v>708</v>
      </c>
      <c r="B77" s="79">
        <v>2024</v>
      </c>
      <c r="C77" s="78" t="s">
        <v>3</v>
      </c>
      <c r="D77" s="78" t="s">
        <v>154</v>
      </c>
      <c r="E77" s="78" t="s">
        <v>151</v>
      </c>
      <c r="F77" s="78" t="s">
        <v>236</v>
      </c>
      <c r="G77" s="78" t="s">
        <v>237</v>
      </c>
      <c r="H77" s="78" t="s">
        <v>270</v>
      </c>
      <c r="I77" s="78" t="s">
        <v>271</v>
      </c>
      <c r="J77" s="78" t="s">
        <v>38</v>
      </c>
      <c r="K77" s="78" t="s">
        <v>72</v>
      </c>
      <c r="L77" s="78" t="s">
        <v>165</v>
      </c>
      <c r="M77" s="78" t="s">
        <v>40</v>
      </c>
      <c r="N77" s="80">
        <v>262696350</v>
      </c>
      <c r="O77" s="80"/>
      <c r="P77" s="80"/>
      <c r="Q77" s="80">
        <v>0</v>
      </c>
      <c r="R77" s="80">
        <v>0</v>
      </c>
      <c r="S77" s="80">
        <v>262696350</v>
      </c>
      <c r="T77" s="80">
        <v>262696350</v>
      </c>
      <c r="U77" s="80">
        <v>0</v>
      </c>
      <c r="V77" s="80">
        <v>261686950</v>
      </c>
      <c r="W77" s="80">
        <v>34319600</v>
      </c>
      <c r="X77" s="80">
        <v>34319600</v>
      </c>
      <c r="Y77" s="80">
        <v>34319600</v>
      </c>
      <c r="Z77" s="80">
        <v>0</v>
      </c>
      <c r="AA77" s="80">
        <v>0</v>
      </c>
      <c r="AB77" t="str">
        <f t="shared" si="5"/>
        <v>C-0399-1000-7-</v>
      </c>
      <c r="AC77" t="str">
        <f t="shared" si="6"/>
        <v>C</v>
      </c>
    </row>
    <row r="78" spans="1:29" ht="21" customHeight="1">
      <c r="A78" s="78" t="s">
        <v>708</v>
      </c>
      <c r="B78" s="79">
        <v>2024</v>
      </c>
      <c r="C78" s="78" t="s">
        <v>3</v>
      </c>
      <c r="D78" s="78" t="s">
        <v>154</v>
      </c>
      <c r="E78" s="78" t="s">
        <v>151</v>
      </c>
      <c r="F78" s="78" t="s">
        <v>236</v>
      </c>
      <c r="G78" s="78" t="s">
        <v>237</v>
      </c>
      <c r="H78" s="78" t="s">
        <v>272</v>
      </c>
      <c r="I78" s="78" t="s">
        <v>273</v>
      </c>
      <c r="J78" s="78" t="s">
        <v>38</v>
      </c>
      <c r="K78" s="78" t="s">
        <v>72</v>
      </c>
      <c r="L78" s="78" t="s">
        <v>165</v>
      </c>
      <c r="M78" s="78" t="s">
        <v>40</v>
      </c>
      <c r="N78" s="80">
        <v>13248303650</v>
      </c>
      <c r="O78" s="80"/>
      <c r="P78" s="80"/>
      <c r="Q78" s="80">
        <v>0</v>
      </c>
      <c r="R78" s="80">
        <v>0</v>
      </c>
      <c r="S78" s="80">
        <v>13248303650</v>
      </c>
      <c r="T78" s="80">
        <v>0</v>
      </c>
      <c r="U78" s="80">
        <v>13248303650</v>
      </c>
      <c r="V78" s="80"/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t="str">
        <f t="shared" si="5"/>
        <v>C-0399-1000-7-</v>
      </c>
      <c r="AC78" t="str">
        <f t="shared" si="6"/>
        <v>C</v>
      </c>
    </row>
    <row r="79" spans="1:29" ht="21" customHeight="1">
      <c r="A79" s="78" t="s">
        <v>708</v>
      </c>
      <c r="B79" s="79">
        <v>2024</v>
      </c>
      <c r="C79" s="78" t="s">
        <v>3</v>
      </c>
      <c r="D79" s="78" t="s">
        <v>154</v>
      </c>
      <c r="E79" s="78" t="s">
        <v>151</v>
      </c>
      <c r="F79" s="78" t="s">
        <v>236</v>
      </c>
      <c r="G79" s="78" t="s">
        <v>237</v>
      </c>
      <c r="H79" s="78" t="s">
        <v>168</v>
      </c>
      <c r="I79" s="78" t="s">
        <v>169</v>
      </c>
      <c r="J79" s="78" t="s">
        <v>38</v>
      </c>
      <c r="K79" s="78" t="s">
        <v>72</v>
      </c>
      <c r="L79" s="78" t="s">
        <v>165</v>
      </c>
      <c r="M79" s="78" t="s">
        <v>40</v>
      </c>
      <c r="N79" s="80">
        <v>716865772</v>
      </c>
      <c r="O79" s="80"/>
      <c r="P79" s="80"/>
      <c r="Q79" s="80">
        <v>0</v>
      </c>
      <c r="R79" s="80">
        <v>0</v>
      </c>
      <c r="S79" s="80">
        <v>716865772</v>
      </c>
      <c r="T79" s="80">
        <v>151493064</v>
      </c>
      <c r="U79" s="80">
        <v>565372708</v>
      </c>
      <c r="V79" s="80">
        <v>148860400</v>
      </c>
      <c r="W79" s="80">
        <v>3229200</v>
      </c>
      <c r="X79" s="80">
        <v>3229200</v>
      </c>
      <c r="Y79" s="80">
        <v>3229200</v>
      </c>
      <c r="Z79" s="80">
        <v>0</v>
      </c>
      <c r="AA79" s="80">
        <v>0</v>
      </c>
      <c r="AB79" t="str">
        <f t="shared" si="5"/>
        <v>C-0399-1000-9-</v>
      </c>
      <c r="AC79" t="str">
        <f t="shared" si="6"/>
        <v>C</v>
      </c>
    </row>
    <row r="80" spans="1:29" ht="21" customHeight="1">
      <c r="A80" s="78" t="s">
        <v>708</v>
      </c>
      <c r="B80" s="79">
        <v>2024</v>
      </c>
      <c r="C80" s="78" t="s">
        <v>3</v>
      </c>
      <c r="D80" s="78" t="s">
        <v>154</v>
      </c>
      <c r="E80" s="78" t="s">
        <v>151</v>
      </c>
      <c r="F80" s="78" t="s">
        <v>236</v>
      </c>
      <c r="G80" s="78" t="s">
        <v>237</v>
      </c>
      <c r="H80" s="78" t="s">
        <v>186</v>
      </c>
      <c r="I80" s="78" t="s">
        <v>187</v>
      </c>
      <c r="J80" s="78" t="s">
        <v>38</v>
      </c>
      <c r="K80" s="78" t="s">
        <v>72</v>
      </c>
      <c r="L80" s="78" t="s">
        <v>165</v>
      </c>
      <c r="M80" s="78" t="s">
        <v>40</v>
      </c>
      <c r="N80" s="80">
        <v>1075444228</v>
      </c>
      <c r="O80" s="80"/>
      <c r="P80" s="80"/>
      <c r="Q80" s="80">
        <v>0</v>
      </c>
      <c r="R80" s="80">
        <v>0</v>
      </c>
      <c r="S80" s="80">
        <v>1075444228</v>
      </c>
      <c r="T80" s="80">
        <v>902321228</v>
      </c>
      <c r="U80" s="80">
        <v>173123000</v>
      </c>
      <c r="V80" s="80">
        <v>892153982</v>
      </c>
      <c r="W80" s="80">
        <v>109348050</v>
      </c>
      <c r="X80" s="80">
        <v>99786050</v>
      </c>
      <c r="Y80" s="80">
        <v>99786050</v>
      </c>
      <c r="Z80" s="80">
        <v>0</v>
      </c>
      <c r="AA80" s="80">
        <v>0</v>
      </c>
      <c r="AB80" t="str">
        <f t="shared" si="5"/>
        <v>C-0399-1000-9-</v>
      </c>
      <c r="AC80" t="str">
        <f t="shared" si="6"/>
        <v>C</v>
      </c>
    </row>
    <row r="81" spans="1:29" ht="21" hidden="1" customHeight="1">
      <c r="A81" s="78" t="s">
        <v>708</v>
      </c>
      <c r="B81" s="79">
        <v>2024</v>
      </c>
      <c r="C81" s="78" t="s">
        <v>3</v>
      </c>
      <c r="D81" s="78" t="s">
        <v>154</v>
      </c>
      <c r="E81" s="78" t="s">
        <v>151</v>
      </c>
      <c r="F81" s="78" t="s">
        <v>274</v>
      </c>
      <c r="G81" s="78" t="s">
        <v>275</v>
      </c>
      <c r="H81" s="78" t="s">
        <v>238</v>
      </c>
      <c r="I81" s="78" t="s">
        <v>239</v>
      </c>
      <c r="J81" s="78" t="s">
        <v>38</v>
      </c>
      <c r="K81" s="78" t="s">
        <v>39</v>
      </c>
      <c r="L81" s="78" t="s">
        <v>152</v>
      </c>
      <c r="M81" s="78" t="s">
        <v>40</v>
      </c>
      <c r="N81" s="80">
        <v>4000000</v>
      </c>
      <c r="O81" s="80">
        <v>0</v>
      </c>
      <c r="P81" s="80">
        <v>4000000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/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t="str">
        <f t="shared" si="5"/>
        <v>A-02-02-01-003</v>
      </c>
      <c r="AC81" t="str">
        <f t="shared" si="6"/>
        <v>A</v>
      </c>
    </row>
    <row r="82" spans="1:29" ht="21" hidden="1" customHeight="1">
      <c r="A82" s="78" t="s">
        <v>708</v>
      </c>
      <c r="B82" s="79">
        <v>2024</v>
      </c>
      <c r="C82" s="78" t="s">
        <v>3</v>
      </c>
      <c r="D82" s="78" t="s">
        <v>154</v>
      </c>
      <c r="E82" s="78" t="s">
        <v>151</v>
      </c>
      <c r="F82" s="78" t="s">
        <v>274</v>
      </c>
      <c r="G82" s="78" t="s">
        <v>275</v>
      </c>
      <c r="H82" s="78" t="s">
        <v>276</v>
      </c>
      <c r="I82" s="78" t="s">
        <v>277</v>
      </c>
      <c r="J82" s="78" t="s">
        <v>38</v>
      </c>
      <c r="K82" s="78" t="s">
        <v>39</v>
      </c>
      <c r="L82" s="78" t="s">
        <v>152</v>
      </c>
      <c r="M82" s="78" t="s">
        <v>40</v>
      </c>
      <c r="N82" s="80">
        <v>39000000</v>
      </c>
      <c r="O82" s="80">
        <v>0</v>
      </c>
      <c r="P82" s="80">
        <v>39000000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/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t="str">
        <f t="shared" si="5"/>
        <v>A-02-02-01-004</v>
      </c>
      <c r="AC82" t="str">
        <f t="shared" si="6"/>
        <v>A</v>
      </c>
    </row>
    <row r="83" spans="1:29" ht="21" hidden="1" customHeight="1">
      <c r="A83" s="78" t="s">
        <v>708</v>
      </c>
      <c r="B83" s="79">
        <v>2024</v>
      </c>
      <c r="C83" s="78" t="s">
        <v>3</v>
      </c>
      <c r="D83" s="78" t="s">
        <v>154</v>
      </c>
      <c r="E83" s="78" t="s">
        <v>151</v>
      </c>
      <c r="F83" s="78" t="s">
        <v>274</v>
      </c>
      <c r="G83" s="78" t="s">
        <v>275</v>
      </c>
      <c r="H83" s="78" t="s">
        <v>278</v>
      </c>
      <c r="I83" s="78" t="s">
        <v>279</v>
      </c>
      <c r="J83" s="78" t="s">
        <v>38</v>
      </c>
      <c r="K83" s="78" t="s">
        <v>39</v>
      </c>
      <c r="L83" s="78" t="s">
        <v>152</v>
      </c>
      <c r="M83" s="78" t="s">
        <v>40</v>
      </c>
      <c r="N83" s="80">
        <v>2000000</v>
      </c>
      <c r="O83" s="80">
        <v>0</v>
      </c>
      <c r="P83" s="80">
        <v>2000000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/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t="str">
        <f t="shared" si="5"/>
        <v>A-02-02-01-004</v>
      </c>
      <c r="AC83" t="str">
        <f t="shared" si="6"/>
        <v>A</v>
      </c>
    </row>
    <row r="84" spans="1:29" ht="21" hidden="1" customHeight="1">
      <c r="A84" s="78" t="s">
        <v>708</v>
      </c>
      <c r="B84" s="79">
        <v>2024</v>
      </c>
      <c r="C84" s="78" t="s">
        <v>3</v>
      </c>
      <c r="D84" s="78" t="s">
        <v>154</v>
      </c>
      <c r="E84" s="78" t="s">
        <v>151</v>
      </c>
      <c r="F84" s="78" t="s">
        <v>274</v>
      </c>
      <c r="G84" s="78" t="s">
        <v>275</v>
      </c>
      <c r="H84" s="78" t="s">
        <v>244</v>
      </c>
      <c r="I84" s="78" t="s">
        <v>245</v>
      </c>
      <c r="J84" s="78" t="s">
        <v>38</v>
      </c>
      <c r="K84" s="78" t="s">
        <v>39</v>
      </c>
      <c r="L84" s="78" t="s">
        <v>152</v>
      </c>
      <c r="M84" s="78" t="s">
        <v>40</v>
      </c>
      <c r="N84" s="80">
        <v>720827610</v>
      </c>
      <c r="O84" s="80">
        <v>43720000</v>
      </c>
      <c r="P84" s="80">
        <v>0</v>
      </c>
      <c r="Q84" s="80">
        <v>0</v>
      </c>
      <c r="R84" s="80">
        <v>0</v>
      </c>
      <c r="S84" s="80">
        <v>764547610</v>
      </c>
      <c r="T84" s="80">
        <v>747085639</v>
      </c>
      <c r="U84" s="80">
        <v>17461971</v>
      </c>
      <c r="V84" s="80">
        <v>53252029</v>
      </c>
      <c r="W84" s="80">
        <v>50266029</v>
      </c>
      <c r="X84" s="80">
        <v>49672029</v>
      </c>
      <c r="Y84" s="80">
        <v>49672029</v>
      </c>
      <c r="Z84" s="80">
        <v>0</v>
      </c>
      <c r="AA84" s="80">
        <v>0</v>
      </c>
      <c r="AB84" t="str">
        <f t="shared" si="5"/>
        <v>A-02-02-02-006</v>
      </c>
      <c r="AC84" t="str">
        <f t="shared" si="6"/>
        <v>A</v>
      </c>
    </row>
    <row r="85" spans="1:29" ht="21" hidden="1" customHeight="1">
      <c r="A85" s="78" t="s">
        <v>708</v>
      </c>
      <c r="B85" s="79">
        <v>2024</v>
      </c>
      <c r="C85" s="78" t="s">
        <v>3</v>
      </c>
      <c r="D85" s="78" t="s">
        <v>154</v>
      </c>
      <c r="E85" s="78" t="s">
        <v>151</v>
      </c>
      <c r="F85" s="78" t="s">
        <v>274</v>
      </c>
      <c r="G85" s="78" t="s">
        <v>275</v>
      </c>
      <c r="H85" s="78" t="s">
        <v>246</v>
      </c>
      <c r="I85" s="78" t="s">
        <v>247</v>
      </c>
      <c r="J85" s="78" t="s">
        <v>38</v>
      </c>
      <c r="K85" s="78" t="s">
        <v>39</v>
      </c>
      <c r="L85" s="78" t="s">
        <v>152</v>
      </c>
      <c r="M85" s="78" t="s">
        <v>40</v>
      </c>
      <c r="N85" s="80">
        <v>441000000</v>
      </c>
      <c r="O85" s="80">
        <v>50000000</v>
      </c>
      <c r="P85" s="80">
        <v>0</v>
      </c>
      <c r="Q85" s="80">
        <v>0</v>
      </c>
      <c r="R85" s="80">
        <v>0</v>
      </c>
      <c r="S85" s="80">
        <v>491000000</v>
      </c>
      <c r="T85" s="80">
        <v>491000000</v>
      </c>
      <c r="U85" s="80">
        <v>0</v>
      </c>
      <c r="V85" s="80">
        <v>442795000</v>
      </c>
      <c r="W85" s="80">
        <v>9713540</v>
      </c>
      <c r="X85" s="80">
        <v>9338540</v>
      </c>
      <c r="Y85" s="80">
        <v>9338540</v>
      </c>
      <c r="Z85" s="80">
        <v>0</v>
      </c>
      <c r="AA85" s="80">
        <v>0</v>
      </c>
      <c r="AB85" t="str">
        <f t="shared" si="5"/>
        <v>A-02-02-02-006</v>
      </c>
      <c r="AC85" t="str">
        <f t="shared" si="6"/>
        <v>A</v>
      </c>
    </row>
    <row r="86" spans="1:29" ht="21" hidden="1" customHeight="1">
      <c r="A86" s="78" t="s">
        <v>708</v>
      </c>
      <c r="B86" s="79">
        <v>2024</v>
      </c>
      <c r="C86" s="78" t="s">
        <v>3</v>
      </c>
      <c r="D86" s="78" t="s">
        <v>154</v>
      </c>
      <c r="E86" s="78" t="s">
        <v>151</v>
      </c>
      <c r="F86" s="78" t="s">
        <v>274</v>
      </c>
      <c r="G86" s="78" t="s">
        <v>275</v>
      </c>
      <c r="H86" s="78" t="s">
        <v>248</v>
      </c>
      <c r="I86" s="78" t="s">
        <v>249</v>
      </c>
      <c r="J86" s="78" t="s">
        <v>38</v>
      </c>
      <c r="K86" s="78" t="s">
        <v>39</v>
      </c>
      <c r="L86" s="78" t="s">
        <v>152</v>
      </c>
      <c r="M86" s="78" t="s">
        <v>40</v>
      </c>
      <c r="N86" s="80">
        <v>1500000</v>
      </c>
      <c r="O86" s="80">
        <v>0</v>
      </c>
      <c r="P86" s="80">
        <v>1500000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/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t="str">
        <f t="shared" si="5"/>
        <v>A-02-02-02-006</v>
      </c>
      <c r="AC86" t="str">
        <f t="shared" si="6"/>
        <v>A</v>
      </c>
    </row>
    <row r="87" spans="1:29" ht="21" hidden="1" customHeight="1">
      <c r="A87" s="78" t="s">
        <v>708</v>
      </c>
      <c r="B87" s="79">
        <v>2024</v>
      </c>
      <c r="C87" s="78" t="s">
        <v>3</v>
      </c>
      <c r="D87" s="78" t="s">
        <v>154</v>
      </c>
      <c r="E87" s="78" t="s">
        <v>151</v>
      </c>
      <c r="F87" s="78" t="s">
        <v>274</v>
      </c>
      <c r="G87" s="78" t="s">
        <v>275</v>
      </c>
      <c r="H87" s="78" t="s">
        <v>157</v>
      </c>
      <c r="I87" s="78" t="s">
        <v>158</v>
      </c>
      <c r="J87" s="78" t="s">
        <v>38</v>
      </c>
      <c r="K87" s="78" t="s">
        <v>39</v>
      </c>
      <c r="L87" s="78" t="s">
        <v>152</v>
      </c>
      <c r="M87" s="78" t="s">
        <v>40</v>
      </c>
      <c r="N87" s="80">
        <v>412321860</v>
      </c>
      <c r="O87" s="80">
        <v>27080100</v>
      </c>
      <c r="P87" s="80">
        <v>0</v>
      </c>
      <c r="Q87" s="80">
        <v>0</v>
      </c>
      <c r="R87" s="80">
        <v>0</v>
      </c>
      <c r="S87" s="80">
        <v>439401960</v>
      </c>
      <c r="T87" s="80">
        <v>401267160</v>
      </c>
      <c r="U87" s="80">
        <v>38134800</v>
      </c>
      <c r="V87" s="80">
        <v>401267160</v>
      </c>
      <c r="W87" s="80">
        <v>47716920</v>
      </c>
      <c r="X87" s="80">
        <v>47716920</v>
      </c>
      <c r="Y87" s="80">
        <v>47716920</v>
      </c>
      <c r="Z87" s="80">
        <v>0</v>
      </c>
      <c r="AA87" s="80">
        <v>0</v>
      </c>
      <c r="AB87" t="str">
        <f t="shared" si="5"/>
        <v>A-02-02-02-008</v>
      </c>
      <c r="AC87" t="str">
        <f t="shared" si="6"/>
        <v>A</v>
      </c>
    </row>
    <row r="88" spans="1:29" ht="21" hidden="1" customHeight="1">
      <c r="A88" s="78" t="s">
        <v>708</v>
      </c>
      <c r="B88" s="79">
        <v>2024</v>
      </c>
      <c r="C88" s="78" t="s">
        <v>3</v>
      </c>
      <c r="D88" s="78" t="s">
        <v>154</v>
      </c>
      <c r="E88" s="78" t="s">
        <v>151</v>
      </c>
      <c r="F88" s="78" t="s">
        <v>274</v>
      </c>
      <c r="G88" s="78" t="s">
        <v>275</v>
      </c>
      <c r="H88" s="78" t="s">
        <v>159</v>
      </c>
      <c r="I88" s="78" t="s">
        <v>160</v>
      </c>
      <c r="J88" s="78" t="s">
        <v>38</v>
      </c>
      <c r="K88" s="78" t="s">
        <v>39</v>
      </c>
      <c r="L88" s="78" t="s">
        <v>152</v>
      </c>
      <c r="M88" s="78" t="s">
        <v>40</v>
      </c>
      <c r="N88" s="80">
        <v>1096806349</v>
      </c>
      <c r="O88" s="80">
        <v>39999691</v>
      </c>
      <c r="P88" s="80">
        <v>0</v>
      </c>
      <c r="Q88" s="80">
        <v>0</v>
      </c>
      <c r="R88" s="80">
        <v>0</v>
      </c>
      <c r="S88" s="80">
        <v>1136806040</v>
      </c>
      <c r="T88" s="80">
        <v>1091806040</v>
      </c>
      <c r="U88" s="80">
        <v>45000000</v>
      </c>
      <c r="V88" s="80">
        <v>1091806040</v>
      </c>
      <c r="W88" s="80">
        <v>143040133</v>
      </c>
      <c r="X88" s="80">
        <v>143040133</v>
      </c>
      <c r="Y88" s="80">
        <v>143040133</v>
      </c>
      <c r="Z88" s="80">
        <v>0</v>
      </c>
      <c r="AA88" s="80">
        <v>0</v>
      </c>
      <c r="AB88" t="str">
        <f t="shared" si="5"/>
        <v>A-02-02-02-008</v>
      </c>
      <c r="AC88" t="str">
        <f t="shared" si="6"/>
        <v>A</v>
      </c>
    </row>
    <row r="89" spans="1:29" ht="21" hidden="1" customHeight="1">
      <c r="A89" s="78" t="s">
        <v>708</v>
      </c>
      <c r="B89" s="79">
        <v>2024</v>
      </c>
      <c r="C89" s="78" t="s">
        <v>3</v>
      </c>
      <c r="D89" s="78" t="s">
        <v>154</v>
      </c>
      <c r="E89" s="78" t="s">
        <v>151</v>
      </c>
      <c r="F89" s="78" t="s">
        <v>274</v>
      </c>
      <c r="G89" s="78" t="s">
        <v>275</v>
      </c>
      <c r="H89" s="78" t="s">
        <v>258</v>
      </c>
      <c r="I89" s="78" t="s">
        <v>259</v>
      </c>
      <c r="J89" s="78" t="s">
        <v>38</v>
      </c>
      <c r="K89" s="78" t="s">
        <v>39</v>
      </c>
      <c r="L89" s="78" t="s">
        <v>152</v>
      </c>
      <c r="M89" s="78" t="s">
        <v>40</v>
      </c>
      <c r="N89" s="80">
        <v>4000000</v>
      </c>
      <c r="O89" s="80">
        <v>0</v>
      </c>
      <c r="P89" s="80">
        <v>4000000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/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t="str">
        <f t="shared" si="5"/>
        <v>A-02-02-02-008</v>
      </c>
      <c r="AC89" t="str">
        <f t="shared" si="6"/>
        <v>A</v>
      </c>
    </row>
    <row r="90" spans="1:29" ht="21" hidden="1" customHeight="1">
      <c r="A90" s="78" t="s">
        <v>708</v>
      </c>
      <c r="B90" s="79">
        <v>2024</v>
      </c>
      <c r="C90" s="78" t="s">
        <v>3</v>
      </c>
      <c r="D90" s="78" t="s">
        <v>154</v>
      </c>
      <c r="E90" s="78" t="s">
        <v>151</v>
      </c>
      <c r="F90" s="78" t="s">
        <v>274</v>
      </c>
      <c r="G90" s="78" t="s">
        <v>275</v>
      </c>
      <c r="H90" s="78" t="s">
        <v>182</v>
      </c>
      <c r="I90" s="78" t="s">
        <v>183</v>
      </c>
      <c r="J90" s="78" t="s">
        <v>38</v>
      </c>
      <c r="K90" s="78" t="s">
        <v>39</v>
      </c>
      <c r="L90" s="78" t="s">
        <v>152</v>
      </c>
      <c r="M90" s="78" t="s">
        <v>40</v>
      </c>
      <c r="N90" s="80">
        <v>1500000</v>
      </c>
      <c r="O90" s="80">
        <v>50000000</v>
      </c>
      <c r="P90" s="80">
        <v>21500000</v>
      </c>
      <c r="Q90" s="80">
        <v>0</v>
      </c>
      <c r="R90" s="80">
        <v>0</v>
      </c>
      <c r="S90" s="80">
        <v>30000000</v>
      </c>
      <c r="T90" s="80">
        <v>20036000</v>
      </c>
      <c r="U90" s="80">
        <v>9964000</v>
      </c>
      <c r="V90" s="80">
        <v>20036000</v>
      </c>
      <c r="W90" s="80">
        <v>20036000</v>
      </c>
      <c r="X90" s="80">
        <v>20036000</v>
      </c>
      <c r="Y90" s="80">
        <v>20036000</v>
      </c>
      <c r="Z90" s="80">
        <v>0</v>
      </c>
      <c r="AA90" s="80">
        <v>0</v>
      </c>
      <c r="AB90" t="str">
        <f t="shared" si="5"/>
        <v>A-02-02-02-008</v>
      </c>
      <c r="AC90" t="str">
        <f t="shared" si="6"/>
        <v>A</v>
      </c>
    </row>
    <row r="91" spans="1:29" ht="21" hidden="1" customHeight="1">
      <c r="A91" s="78" t="s">
        <v>708</v>
      </c>
      <c r="B91" s="79">
        <v>2024</v>
      </c>
      <c r="C91" s="78" t="s">
        <v>3</v>
      </c>
      <c r="D91" s="78" t="s">
        <v>154</v>
      </c>
      <c r="E91" s="78" t="s">
        <v>151</v>
      </c>
      <c r="F91" s="78" t="s">
        <v>274</v>
      </c>
      <c r="G91" s="78" t="s">
        <v>275</v>
      </c>
      <c r="H91" s="78" t="s">
        <v>280</v>
      </c>
      <c r="I91" s="78" t="s">
        <v>281</v>
      </c>
      <c r="J91" s="78" t="s">
        <v>38</v>
      </c>
      <c r="K91" s="78" t="s">
        <v>39</v>
      </c>
      <c r="L91" s="78" t="s">
        <v>152</v>
      </c>
      <c r="M91" s="78" t="s">
        <v>40</v>
      </c>
      <c r="N91" s="80">
        <v>10720000</v>
      </c>
      <c r="O91" s="80">
        <v>0</v>
      </c>
      <c r="P91" s="80">
        <v>10720000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80"/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t="str">
        <f t="shared" si="5"/>
        <v>A-02-02-02-009</v>
      </c>
      <c r="AC91" t="str">
        <f t="shared" si="6"/>
        <v>A</v>
      </c>
    </row>
    <row r="92" spans="1:29" ht="21" hidden="1" customHeight="1">
      <c r="A92" s="78" t="s">
        <v>708</v>
      </c>
      <c r="B92" s="79">
        <v>2024</v>
      </c>
      <c r="C92" s="78" t="s">
        <v>3</v>
      </c>
      <c r="D92" s="78" t="s">
        <v>154</v>
      </c>
      <c r="E92" s="78" t="s">
        <v>151</v>
      </c>
      <c r="F92" s="78" t="s">
        <v>274</v>
      </c>
      <c r="G92" s="78" t="s">
        <v>275</v>
      </c>
      <c r="H92" s="78" t="s">
        <v>264</v>
      </c>
      <c r="I92" s="78" t="s">
        <v>265</v>
      </c>
      <c r="J92" s="78" t="s">
        <v>38</v>
      </c>
      <c r="K92" s="78" t="s">
        <v>39</v>
      </c>
      <c r="L92" s="78" t="s">
        <v>152</v>
      </c>
      <c r="M92" s="78" t="s">
        <v>40</v>
      </c>
      <c r="N92" s="80">
        <v>1680467414</v>
      </c>
      <c r="O92" s="80">
        <v>0</v>
      </c>
      <c r="P92" s="80">
        <v>78079791</v>
      </c>
      <c r="Q92" s="80">
        <v>0</v>
      </c>
      <c r="R92" s="80">
        <v>0</v>
      </c>
      <c r="S92" s="80">
        <v>1602387623</v>
      </c>
      <c r="T92" s="80">
        <v>1602387623</v>
      </c>
      <c r="U92" s="80">
        <v>0</v>
      </c>
      <c r="V92" s="80">
        <v>694254874</v>
      </c>
      <c r="W92" s="80">
        <v>50804668</v>
      </c>
      <c r="X92" s="80">
        <v>48836740</v>
      </c>
      <c r="Y92" s="80">
        <v>47095685</v>
      </c>
      <c r="Z92" s="80">
        <v>0</v>
      </c>
      <c r="AA92" s="80">
        <v>0</v>
      </c>
      <c r="AB92" t="str">
        <f t="shared" si="5"/>
        <v>A-02-02-02-010</v>
      </c>
      <c r="AC92" t="str">
        <f t="shared" si="6"/>
        <v>A</v>
      </c>
    </row>
    <row r="93" spans="1:29" ht="21" hidden="1" customHeight="1">
      <c r="A93" s="78" t="s">
        <v>708</v>
      </c>
      <c r="B93" s="79">
        <v>2024</v>
      </c>
      <c r="C93" s="78" t="s">
        <v>3</v>
      </c>
      <c r="D93" s="78" t="s">
        <v>154</v>
      </c>
      <c r="E93" s="78" t="s">
        <v>151</v>
      </c>
      <c r="F93" s="78" t="s">
        <v>274</v>
      </c>
      <c r="G93" s="78" t="s">
        <v>275</v>
      </c>
      <c r="H93" s="78" t="s">
        <v>71</v>
      </c>
      <c r="I93" s="78" t="s">
        <v>74</v>
      </c>
      <c r="J93" s="78" t="s">
        <v>38</v>
      </c>
      <c r="K93" s="78" t="s">
        <v>72</v>
      </c>
      <c r="L93" s="78" t="s">
        <v>165</v>
      </c>
      <c r="M93" s="78" t="s">
        <v>73</v>
      </c>
      <c r="N93" s="80">
        <v>4359000000</v>
      </c>
      <c r="O93" s="80"/>
      <c r="P93" s="80"/>
      <c r="Q93" s="80">
        <v>0</v>
      </c>
      <c r="R93" s="80">
        <v>0</v>
      </c>
      <c r="S93" s="80">
        <v>4359000000</v>
      </c>
      <c r="T93" s="80">
        <v>0</v>
      </c>
      <c r="U93" s="80">
        <v>4359000000</v>
      </c>
      <c r="V93" s="80"/>
      <c r="W93" s="80">
        <v>0</v>
      </c>
      <c r="X93" s="80">
        <v>0</v>
      </c>
      <c r="Y93" s="80">
        <v>0</v>
      </c>
      <c r="Z93" s="80">
        <v>0</v>
      </c>
      <c r="AA93" s="80">
        <v>0</v>
      </c>
      <c r="AB93" t="str">
        <f t="shared" si="5"/>
        <v>A-08-04-01</v>
      </c>
      <c r="AC93" t="str">
        <f t="shared" si="6"/>
        <v>A</v>
      </c>
    </row>
    <row r="94" spans="1:29" ht="21" hidden="1" customHeight="1">
      <c r="A94" s="78" t="s">
        <v>708</v>
      </c>
      <c r="B94" s="79">
        <v>2024</v>
      </c>
      <c r="C94" s="78" t="s">
        <v>3</v>
      </c>
      <c r="D94" s="78" t="s">
        <v>154</v>
      </c>
      <c r="E94" s="78" t="s">
        <v>151</v>
      </c>
      <c r="F94" s="78" t="s">
        <v>282</v>
      </c>
      <c r="G94" s="78" t="s">
        <v>283</v>
      </c>
      <c r="H94" s="78" t="s">
        <v>284</v>
      </c>
      <c r="I94" s="78" t="s">
        <v>285</v>
      </c>
      <c r="J94" s="78" t="s">
        <v>38</v>
      </c>
      <c r="K94" s="78" t="s">
        <v>39</v>
      </c>
      <c r="L94" s="78" t="s">
        <v>152</v>
      </c>
      <c r="M94" s="78" t="s">
        <v>40</v>
      </c>
      <c r="N94" s="80">
        <v>37970511644</v>
      </c>
      <c r="O94" s="80"/>
      <c r="P94" s="80"/>
      <c r="Q94" s="80">
        <v>0</v>
      </c>
      <c r="R94" s="80">
        <v>0</v>
      </c>
      <c r="S94" s="80">
        <v>37970511644</v>
      </c>
      <c r="T94" s="80">
        <v>37970511644</v>
      </c>
      <c r="U94" s="80">
        <v>0</v>
      </c>
      <c r="V94" s="80">
        <v>4429505922</v>
      </c>
      <c r="W94" s="80">
        <v>4428965016.3599997</v>
      </c>
      <c r="X94" s="80">
        <v>4428965016.3599997</v>
      </c>
      <c r="Y94" s="80">
        <v>4427638670.3599997</v>
      </c>
      <c r="Z94" s="80">
        <v>0</v>
      </c>
      <c r="AA94" s="80">
        <v>0</v>
      </c>
      <c r="AB94" t="str">
        <f t="shared" si="5"/>
        <v>A-01-01-01-001</v>
      </c>
      <c r="AC94" t="str">
        <f t="shared" si="6"/>
        <v>A</v>
      </c>
    </row>
    <row r="95" spans="1:29" ht="21" hidden="1" customHeight="1">
      <c r="A95" s="78" t="s">
        <v>708</v>
      </c>
      <c r="B95" s="79">
        <v>2024</v>
      </c>
      <c r="C95" s="78" t="s">
        <v>3</v>
      </c>
      <c r="D95" s="78" t="s">
        <v>154</v>
      </c>
      <c r="E95" s="78" t="s">
        <v>151</v>
      </c>
      <c r="F95" s="78" t="s">
        <v>282</v>
      </c>
      <c r="G95" s="78" t="s">
        <v>283</v>
      </c>
      <c r="H95" s="78" t="s">
        <v>286</v>
      </c>
      <c r="I95" s="78" t="s">
        <v>287</v>
      </c>
      <c r="J95" s="78" t="s">
        <v>38</v>
      </c>
      <c r="K95" s="78" t="s">
        <v>39</v>
      </c>
      <c r="L95" s="78" t="s">
        <v>152</v>
      </c>
      <c r="M95" s="78" t="s">
        <v>40</v>
      </c>
      <c r="N95" s="80">
        <v>564000000</v>
      </c>
      <c r="O95" s="80"/>
      <c r="P95" s="80"/>
      <c r="Q95" s="80">
        <v>0</v>
      </c>
      <c r="R95" s="80">
        <v>0</v>
      </c>
      <c r="S95" s="80">
        <v>564000000</v>
      </c>
      <c r="T95" s="80">
        <v>564000000</v>
      </c>
      <c r="U95" s="80">
        <v>0</v>
      </c>
      <c r="V95" s="80">
        <v>84739462</v>
      </c>
      <c r="W95" s="80">
        <v>84739462</v>
      </c>
      <c r="X95" s="80">
        <v>84739462</v>
      </c>
      <c r="Y95" s="80">
        <v>82381518</v>
      </c>
      <c r="Z95" s="80">
        <v>0</v>
      </c>
      <c r="AA95" s="80">
        <v>0</v>
      </c>
      <c r="AB95" t="str">
        <f t="shared" si="5"/>
        <v>A-01-01-01-001</v>
      </c>
      <c r="AC95" t="str">
        <f t="shared" si="6"/>
        <v>A</v>
      </c>
    </row>
    <row r="96" spans="1:29" ht="21" hidden="1" customHeight="1">
      <c r="A96" s="78" t="s">
        <v>708</v>
      </c>
      <c r="B96" s="79">
        <v>2024</v>
      </c>
      <c r="C96" s="78" t="s">
        <v>3</v>
      </c>
      <c r="D96" s="78" t="s">
        <v>154</v>
      </c>
      <c r="E96" s="78" t="s">
        <v>151</v>
      </c>
      <c r="F96" s="78" t="s">
        <v>282</v>
      </c>
      <c r="G96" s="78" t="s">
        <v>283</v>
      </c>
      <c r="H96" s="78" t="s">
        <v>288</v>
      </c>
      <c r="I96" s="78" t="s">
        <v>289</v>
      </c>
      <c r="J96" s="78" t="s">
        <v>38</v>
      </c>
      <c r="K96" s="78" t="s">
        <v>39</v>
      </c>
      <c r="L96" s="78" t="s">
        <v>152</v>
      </c>
      <c r="M96" s="78" t="s">
        <v>40</v>
      </c>
      <c r="N96" s="80">
        <v>5021612604</v>
      </c>
      <c r="O96" s="80"/>
      <c r="P96" s="80"/>
      <c r="Q96" s="80">
        <v>0</v>
      </c>
      <c r="R96" s="80">
        <v>0</v>
      </c>
      <c r="S96" s="80">
        <v>5021612604</v>
      </c>
      <c r="T96" s="80">
        <v>5021612604</v>
      </c>
      <c r="U96" s="80">
        <v>0</v>
      </c>
      <c r="V96" s="80">
        <v>765083770</v>
      </c>
      <c r="W96" s="80">
        <v>765083770</v>
      </c>
      <c r="X96" s="80">
        <v>765083770</v>
      </c>
      <c r="Y96" s="80">
        <v>762504767</v>
      </c>
      <c r="Z96" s="80">
        <v>0</v>
      </c>
      <c r="AA96" s="80">
        <v>0</v>
      </c>
      <c r="AB96" t="str">
        <f t="shared" si="5"/>
        <v>A-01-01-01-001</v>
      </c>
      <c r="AC96" t="str">
        <f t="shared" si="6"/>
        <v>A</v>
      </c>
    </row>
    <row r="97" spans="1:29" ht="21" hidden="1" customHeight="1">
      <c r="A97" s="78" t="s">
        <v>708</v>
      </c>
      <c r="B97" s="79">
        <v>2024</v>
      </c>
      <c r="C97" s="78" t="s">
        <v>3</v>
      </c>
      <c r="D97" s="78" t="s">
        <v>154</v>
      </c>
      <c r="E97" s="78" t="s">
        <v>151</v>
      </c>
      <c r="F97" s="78" t="s">
        <v>282</v>
      </c>
      <c r="G97" s="78" t="s">
        <v>283</v>
      </c>
      <c r="H97" s="78" t="s">
        <v>290</v>
      </c>
      <c r="I97" s="78" t="s">
        <v>291</v>
      </c>
      <c r="J97" s="78" t="s">
        <v>38</v>
      </c>
      <c r="K97" s="78" t="s">
        <v>39</v>
      </c>
      <c r="L97" s="78" t="s">
        <v>152</v>
      </c>
      <c r="M97" s="78" t="s">
        <v>40</v>
      </c>
      <c r="N97" s="80">
        <v>88054560</v>
      </c>
      <c r="O97" s="80"/>
      <c r="P97" s="80"/>
      <c r="Q97" s="80">
        <v>0</v>
      </c>
      <c r="R97" s="80">
        <v>0</v>
      </c>
      <c r="S97" s="80">
        <v>88054560</v>
      </c>
      <c r="T97" s="80">
        <v>88054560</v>
      </c>
      <c r="U97" s="80">
        <v>0</v>
      </c>
      <c r="V97" s="80">
        <v>9953399</v>
      </c>
      <c r="W97" s="80">
        <v>9953399</v>
      </c>
      <c r="X97" s="80">
        <v>9953399</v>
      </c>
      <c r="Y97" s="80">
        <v>9953399</v>
      </c>
      <c r="Z97" s="80">
        <v>0</v>
      </c>
      <c r="AA97" s="80">
        <v>0</v>
      </c>
      <c r="AB97" t="str">
        <f t="shared" si="5"/>
        <v>A-01-01-01-001</v>
      </c>
      <c r="AC97" t="str">
        <f t="shared" si="6"/>
        <v>A</v>
      </c>
    </row>
    <row r="98" spans="1:29" ht="21" hidden="1" customHeight="1">
      <c r="A98" s="78" t="s">
        <v>708</v>
      </c>
      <c r="B98" s="79">
        <v>2024</v>
      </c>
      <c r="C98" s="78" t="s">
        <v>3</v>
      </c>
      <c r="D98" s="78" t="s">
        <v>154</v>
      </c>
      <c r="E98" s="78" t="s">
        <v>151</v>
      </c>
      <c r="F98" s="78" t="s">
        <v>282</v>
      </c>
      <c r="G98" s="78" t="s">
        <v>283</v>
      </c>
      <c r="H98" s="78" t="s">
        <v>292</v>
      </c>
      <c r="I98" s="78" t="s">
        <v>293</v>
      </c>
      <c r="J98" s="78" t="s">
        <v>38</v>
      </c>
      <c r="K98" s="78" t="s">
        <v>39</v>
      </c>
      <c r="L98" s="78" t="s">
        <v>152</v>
      </c>
      <c r="M98" s="78" t="s">
        <v>40</v>
      </c>
      <c r="N98" s="80">
        <v>105004548</v>
      </c>
      <c r="O98" s="80"/>
      <c r="P98" s="80"/>
      <c r="Q98" s="80">
        <v>0</v>
      </c>
      <c r="R98" s="80">
        <v>0</v>
      </c>
      <c r="S98" s="80">
        <v>105004548</v>
      </c>
      <c r="T98" s="80">
        <v>105004548</v>
      </c>
      <c r="U98" s="80">
        <v>0</v>
      </c>
      <c r="V98" s="80">
        <v>19317432</v>
      </c>
      <c r="W98" s="80">
        <v>19317432</v>
      </c>
      <c r="X98" s="80">
        <v>19317432</v>
      </c>
      <c r="Y98" s="80">
        <v>19317432</v>
      </c>
      <c r="Z98" s="80">
        <v>0</v>
      </c>
      <c r="AA98" s="80">
        <v>0</v>
      </c>
      <c r="AB98" t="str">
        <f t="shared" si="5"/>
        <v>A-01-01-01-001</v>
      </c>
      <c r="AC98" t="str">
        <f t="shared" si="6"/>
        <v>A</v>
      </c>
    </row>
    <row r="99" spans="1:29" ht="21" hidden="1" customHeight="1">
      <c r="A99" s="78" t="s">
        <v>708</v>
      </c>
      <c r="B99" s="79">
        <v>2024</v>
      </c>
      <c r="C99" s="78" t="s">
        <v>3</v>
      </c>
      <c r="D99" s="78" t="s">
        <v>154</v>
      </c>
      <c r="E99" s="78" t="s">
        <v>151</v>
      </c>
      <c r="F99" s="78" t="s">
        <v>282</v>
      </c>
      <c r="G99" s="78" t="s">
        <v>283</v>
      </c>
      <c r="H99" s="78" t="s">
        <v>294</v>
      </c>
      <c r="I99" s="78" t="s">
        <v>295</v>
      </c>
      <c r="J99" s="78" t="s">
        <v>38</v>
      </c>
      <c r="K99" s="78" t="s">
        <v>39</v>
      </c>
      <c r="L99" s="78" t="s">
        <v>152</v>
      </c>
      <c r="M99" s="78" t="s">
        <v>40</v>
      </c>
      <c r="N99" s="80">
        <v>240000000</v>
      </c>
      <c r="O99" s="80"/>
      <c r="P99" s="80"/>
      <c r="Q99" s="80">
        <v>0</v>
      </c>
      <c r="R99" s="80">
        <v>0</v>
      </c>
      <c r="S99" s="80">
        <v>240000000</v>
      </c>
      <c r="T99" s="80">
        <v>240000000</v>
      </c>
      <c r="U99" s="80">
        <v>0</v>
      </c>
      <c r="V99" s="80">
        <v>29673223</v>
      </c>
      <c r="W99" s="80">
        <v>29673223</v>
      </c>
      <c r="X99" s="80">
        <v>29673223</v>
      </c>
      <c r="Y99" s="80">
        <v>19880195</v>
      </c>
      <c r="Z99" s="80">
        <v>0</v>
      </c>
      <c r="AA99" s="80">
        <v>0</v>
      </c>
      <c r="AB99" t="str">
        <f t="shared" si="5"/>
        <v>A-01-01-01-001</v>
      </c>
      <c r="AC99" t="str">
        <f t="shared" si="6"/>
        <v>A</v>
      </c>
    </row>
    <row r="100" spans="1:29" ht="21" hidden="1" customHeight="1">
      <c r="A100" s="78" t="s">
        <v>708</v>
      </c>
      <c r="B100" s="79">
        <v>2024</v>
      </c>
      <c r="C100" s="78" t="s">
        <v>3</v>
      </c>
      <c r="D100" s="78" t="s">
        <v>154</v>
      </c>
      <c r="E100" s="78" t="s">
        <v>151</v>
      </c>
      <c r="F100" s="78" t="s">
        <v>282</v>
      </c>
      <c r="G100" s="78" t="s">
        <v>283</v>
      </c>
      <c r="H100" s="78" t="s">
        <v>296</v>
      </c>
      <c r="I100" s="78" t="s">
        <v>297</v>
      </c>
      <c r="J100" s="78" t="s">
        <v>38</v>
      </c>
      <c r="K100" s="78" t="s">
        <v>39</v>
      </c>
      <c r="L100" s="78" t="s">
        <v>152</v>
      </c>
      <c r="M100" s="78" t="s">
        <v>40</v>
      </c>
      <c r="N100" s="80">
        <v>960000000</v>
      </c>
      <c r="O100" s="80"/>
      <c r="P100" s="80"/>
      <c r="Q100" s="80">
        <v>0</v>
      </c>
      <c r="R100" s="80">
        <v>0</v>
      </c>
      <c r="S100" s="80">
        <v>960000000</v>
      </c>
      <c r="T100" s="80">
        <v>960000000</v>
      </c>
      <c r="U100" s="80">
        <v>0</v>
      </c>
      <c r="V100" s="80">
        <v>291127548</v>
      </c>
      <c r="W100" s="80">
        <v>291127548</v>
      </c>
      <c r="X100" s="80">
        <v>291127548</v>
      </c>
      <c r="Y100" s="80">
        <v>286164759</v>
      </c>
      <c r="Z100" s="80">
        <v>0</v>
      </c>
      <c r="AA100" s="80">
        <v>0</v>
      </c>
      <c r="AB100" t="str">
        <f t="shared" si="5"/>
        <v>A-01-01-01-001</v>
      </c>
      <c r="AC100" t="str">
        <f t="shared" si="6"/>
        <v>A</v>
      </c>
    </row>
    <row r="101" spans="1:29" ht="21" hidden="1" customHeight="1">
      <c r="A101" s="78" t="s">
        <v>708</v>
      </c>
      <c r="B101" s="79">
        <v>2024</v>
      </c>
      <c r="C101" s="78" t="s">
        <v>3</v>
      </c>
      <c r="D101" s="78" t="s">
        <v>154</v>
      </c>
      <c r="E101" s="78" t="s">
        <v>151</v>
      </c>
      <c r="F101" s="78" t="s">
        <v>282</v>
      </c>
      <c r="G101" s="78" t="s">
        <v>283</v>
      </c>
      <c r="H101" s="78" t="s">
        <v>298</v>
      </c>
      <c r="I101" s="78" t="s">
        <v>299</v>
      </c>
      <c r="J101" s="78" t="s">
        <v>38</v>
      </c>
      <c r="K101" s="78" t="s">
        <v>39</v>
      </c>
      <c r="L101" s="78" t="s">
        <v>152</v>
      </c>
      <c r="M101" s="78" t="s">
        <v>40</v>
      </c>
      <c r="N101" s="80">
        <v>565441704</v>
      </c>
      <c r="O101" s="80"/>
      <c r="P101" s="80"/>
      <c r="Q101" s="80">
        <v>0</v>
      </c>
      <c r="R101" s="80">
        <v>0</v>
      </c>
      <c r="S101" s="80">
        <v>565441704</v>
      </c>
      <c r="T101" s="80">
        <v>565441704</v>
      </c>
      <c r="U101" s="80">
        <v>0</v>
      </c>
      <c r="V101" s="80">
        <v>29028348</v>
      </c>
      <c r="W101" s="80">
        <v>29028348</v>
      </c>
      <c r="X101" s="80">
        <v>29028348</v>
      </c>
      <c r="Y101" s="80">
        <v>29028348</v>
      </c>
      <c r="Z101" s="80">
        <v>0</v>
      </c>
      <c r="AA101" s="80">
        <v>0</v>
      </c>
      <c r="AB101" t="str">
        <f t="shared" si="5"/>
        <v>A-01-01-01-001</v>
      </c>
      <c r="AC101" t="str">
        <f t="shared" si="6"/>
        <v>A</v>
      </c>
    </row>
    <row r="102" spans="1:29" ht="21" hidden="1" customHeight="1">
      <c r="A102" s="78" t="s">
        <v>708</v>
      </c>
      <c r="B102" s="79">
        <v>2024</v>
      </c>
      <c r="C102" s="78" t="s">
        <v>3</v>
      </c>
      <c r="D102" s="78" t="s">
        <v>154</v>
      </c>
      <c r="E102" s="78" t="s">
        <v>151</v>
      </c>
      <c r="F102" s="78" t="s">
        <v>282</v>
      </c>
      <c r="G102" s="78" t="s">
        <v>283</v>
      </c>
      <c r="H102" s="78" t="s">
        <v>300</v>
      </c>
      <c r="I102" s="78" t="s">
        <v>301</v>
      </c>
      <c r="J102" s="78" t="s">
        <v>38</v>
      </c>
      <c r="K102" s="78" t="s">
        <v>39</v>
      </c>
      <c r="L102" s="78" t="s">
        <v>152</v>
      </c>
      <c r="M102" s="78" t="s">
        <v>40</v>
      </c>
      <c r="N102" s="80">
        <v>2988802292</v>
      </c>
      <c r="O102" s="80"/>
      <c r="P102" s="80"/>
      <c r="Q102" s="80">
        <v>0</v>
      </c>
      <c r="R102" s="80">
        <v>0</v>
      </c>
      <c r="S102" s="80">
        <v>2988802292</v>
      </c>
      <c r="T102" s="80">
        <v>2988802292</v>
      </c>
      <c r="U102" s="80">
        <v>0</v>
      </c>
      <c r="V102" s="80">
        <v>9619633</v>
      </c>
      <c r="W102" s="80">
        <v>9619633</v>
      </c>
      <c r="X102" s="80">
        <v>9619633</v>
      </c>
      <c r="Y102" s="80">
        <v>6299798</v>
      </c>
      <c r="Z102" s="80">
        <v>0</v>
      </c>
      <c r="AA102" s="80">
        <v>0</v>
      </c>
      <c r="AB102" t="str">
        <f t="shared" si="5"/>
        <v>A-01-01-01-001</v>
      </c>
      <c r="AC102" t="str">
        <f t="shared" si="6"/>
        <v>A</v>
      </c>
    </row>
    <row r="103" spans="1:29" ht="21" hidden="1" customHeight="1">
      <c r="A103" s="78" t="s">
        <v>708</v>
      </c>
      <c r="B103" s="79">
        <v>2024</v>
      </c>
      <c r="C103" s="78" t="s">
        <v>3</v>
      </c>
      <c r="D103" s="78" t="s">
        <v>154</v>
      </c>
      <c r="E103" s="78" t="s">
        <v>151</v>
      </c>
      <c r="F103" s="78" t="s">
        <v>282</v>
      </c>
      <c r="G103" s="78" t="s">
        <v>283</v>
      </c>
      <c r="H103" s="78" t="s">
        <v>302</v>
      </c>
      <c r="I103" s="78" t="s">
        <v>303</v>
      </c>
      <c r="J103" s="78" t="s">
        <v>38</v>
      </c>
      <c r="K103" s="78" t="s">
        <v>39</v>
      </c>
      <c r="L103" s="78" t="s">
        <v>152</v>
      </c>
      <c r="M103" s="78" t="s">
        <v>40</v>
      </c>
      <c r="N103" s="80">
        <v>2016000000</v>
      </c>
      <c r="O103" s="80"/>
      <c r="P103" s="80"/>
      <c r="Q103" s="80">
        <v>0</v>
      </c>
      <c r="R103" s="80">
        <v>0</v>
      </c>
      <c r="S103" s="80">
        <v>2016000000</v>
      </c>
      <c r="T103" s="80">
        <v>2016000000</v>
      </c>
      <c r="U103" s="80">
        <v>0</v>
      </c>
      <c r="V103" s="80">
        <v>118993887</v>
      </c>
      <c r="W103" s="80">
        <v>118993887</v>
      </c>
      <c r="X103" s="80">
        <v>118993887</v>
      </c>
      <c r="Y103" s="80">
        <v>111167073</v>
      </c>
      <c r="Z103" s="80">
        <v>0</v>
      </c>
      <c r="AA103" s="80">
        <v>0</v>
      </c>
      <c r="AB103" t="str">
        <f t="shared" si="5"/>
        <v>A-01-01-01-001</v>
      </c>
      <c r="AC103" t="str">
        <f t="shared" si="6"/>
        <v>A</v>
      </c>
    </row>
    <row r="104" spans="1:29" ht="21" hidden="1" customHeight="1">
      <c r="A104" s="78" t="s">
        <v>708</v>
      </c>
      <c r="B104" s="79">
        <v>2024</v>
      </c>
      <c r="C104" s="78" t="s">
        <v>3</v>
      </c>
      <c r="D104" s="78" t="s">
        <v>154</v>
      </c>
      <c r="E104" s="78" t="s">
        <v>151</v>
      </c>
      <c r="F104" s="78" t="s">
        <v>282</v>
      </c>
      <c r="G104" s="78" t="s">
        <v>283</v>
      </c>
      <c r="H104" s="78" t="s">
        <v>304</v>
      </c>
      <c r="I104" s="78" t="s">
        <v>305</v>
      </c>
      <c r="J104" s="78" t="s">
        <v>38</v>
      </c>
      <c r="K104" s="78" t="s">
        <v>39</v>
      </c>
      <c r="L104" s="78" t="s">
        <v>152</v>
      </c>
      <c r="M104" s="78" t="s">
        <v>40</v>
      </c>
      <c r="N104" s="80">
        <v>447072648</v>
      </c>
      <c r="O104" s="80"/>
      <c r="P104" s="80"/>
      <c r="Q104" s="80">
        <v>0</v>
      </c>
      <c r="R104" s="80">
        <v>0</v>
      </c>
      <c r="S104" s="80">
        <v>447072648</v>
      </c>
      <c r="T104" s="80">
        <v>447072648</v>
      </c>
      <c r="U104" s="80">
        <v>0</v>
      </c>
      <c r="V104" s="80">
        <v>45543224.5</v>
      </c>
      <c r="W104" s="80">
        <v>44631179.219999999</v>
      </c>
      <c r="X104" s="80">
        <v>44631179.219999999</v>
      </c>
      <c r="Y104" s="80">
        <v>44631179.219999999</v>
      </c>
      <c r="Z104" s="80">
        <v>0</v>
      </c>
      <c r="AA104" s="80">
        <v>0</v>
      </c>
      <c r="AB104" t="str">
        <f t="shared" si="5"/>
        <v>A-01-01-01-002</v>
      </c>
      <c r="AC104" t="str">
        <f t="shared" si="6"/>
        <v>A</v>
      </c>
    </row>
    <row r="105" spans="1:29" ht="21" hidden="1" customHeight="1">
      <c r="A105" s="78" t="s">
        <v>708</v>
      </c>
      <c r="B105" s="79">
        <v>2024</v>
      </c>
      <c r="C105" s="78" t="s">
        <v>3</v>
      </c>
      <c r="D105" s="78" t="s">
        <v>154</v>
      </c>
      <c r="E105" s="78" t="s">
        <v>151</v>
      </c>
      <c r="F105" s="78" t="s">
        <v>282</v>
      </c>
      <c r="G105" s="78" t="s">
        <v>283</v>
      </c>
      <c r="H105" s="78" t="s">
        <v>306</v>
      </c>
      <c r="I105" s="78" t="s">
        <v>307</v>
      </c>
      <c r="J105" s="78" t="s">
        <v>38</v>
      </c>
      <c r="K105" s="78" t="s">
        <v>39</v>
      </c>
      <c r="L105" s="78" t="s">
        <v>152</v>
      </c>
      <c r="M105" s="78" t="s">
        <v>40</v>
      </c>
      <c r="N105" s="80">
        <v>4783143572</v>
      </c>
      <c r="O105" s="80"/>
      <c r="P105" s="80"/>
      <c r="Q105" s="80">
        <v>0</v>
      </c>
      <c r="R105" s="80">
        <v>0</v>
      </c>
      <c r="S105" s="80">
        <v>4783143572</v>
      </c>
      <c r="T105" s="80">
        <v>4783143572</v>
      </c>
      <c r="U105" s="80">
        <v>0</v>
      </c>
      <c r="V105" s="80">
        <v>747913176</v>
      </c>
      <c r="W105" s="80">
        <v>747738955</v>
      </c>
      <c r="X105" s="80">
        <v>747738955</v>
      </c>
      <c r="Y105" s="80">
        <v>747738955</v>
      </c>
      <c r="Z105" s="80">
        <v>0</v>
      </c>
      <c r="AA105" s="80">
        <v>0</v>
      </c>
      <c r="AB105" t="str">
        <f t="shared" si="5"/>
        <v>A-01-01-02-001</v>
      </c>
      <c r="AC105" t="str">
        <f t="shared" si="6"/>
        <v>A</v>
      </c>
    </row>
    <row r="106" spans="1:29" ht="21" hidden="1" customHeight="1">
      <c r="A106" s="78" t="s">
        <v>708</v>
      </c>
      <c r="B106" s="79">
        <v>2024</v>
      </c>
      <c r="C106" s="78" t="s">
        <v>3</v>
      </c>
      <c r="D106" s="78" t="s">
        <v>154</v>
      </c>
      <c r="E106" s="78" t="s">
        <v>151</v>
      </c>
      <c r="F106" s="78" t="s">
        <v>282</v>
      </c>
      <c r="G106" s="78" t="s">
        <v>283</v>
      </c>
      <c r="H106" s="78" t="s">
        <v>308</v>
      </c>
      <c r="I106" s="78" t="s">
        <v>309</v>
      </c>
      <c r="J106" s="78" t="s">
        <v>38</v>
      </c>
      <c r="K106" s="78" t="s">
        <v>39</v>
      </c>
      <c r="L106" s="78" t="s">
        <v>152</v>
      </c>
      <c r="M106" s="78" t="s">
        <v>40</v>
      </c>
      <c r="N106" s="80">
        <v>3400560043</v>
      </c>
      <c r="O106" s="80"/>
      <c r="P106" s="80"/>
      <c r="Q106" s="80">
        <v>0</v>
      </c>
      <c r="R106" s="80">
        <v>0</v>
      </c>
      <c r="S106" s="80">
        <v>3400560043</v>
      </c>
      <c r="T106" s="80">
        <v>3400560043</v>
      </c>
      <c r="U106" s="80">
        <v>0</v>
      </c>
      <c r="V106" s="80">
        <v>528215900</v>
      </c>
      <c r="W106" s="80">
        <v>528215900</v>
      </c>
      <c r="X106" s="80">
        <v>528215900</v>
      </c>
      <c r="Y106" s="80">
        <v>528215900</v>
      </c>
      <c r="Z106" s="80">
        <v>0</v>
      </c>
      <c r="AA106" s="80">
        <v>0</v>
      </c>
      <c r="AB106" t="str">
        <f t="shared" si="5"/>
        <v>A-01-01-02-002</v>
      </c>
      <c r="AC106" t="str">
        <f t="shared" si="6"/>
        <v>A</v>
      </c>
    </row>
    <row r="107" spans="1:29" ht="21" hidden="1" customHeight="1">
      <c r="A107" s="78" t="s">
        <v>708</v>
      </c>
      <c r="B107" s="79">
        <v>2024</v>
      </c>
      <c r="C107" s="78" t="s">
        <v>3</v>
      </c>
      <c r="D107" s="78" t="s">
        <v>154</v>
      </c>
      <c r="E107" s="78" t="s">
        <v>151</v>
      </c>
      <c r="F107" s="78" t="s">
        <v>282</v>
      </c>
      <c r="G107" s="78" t="s">
        <v>283</v>
      </c>
      <c r="H107" s="78" t="s">
        <v>310</v>
      </c>
      <c r="I107" s="78" t="s">
        <v>311</v>
      </c>
      <c r="J107" s="78" t="s">
        <v>38</v>
      </c>
      <c r="K107" s="78" t="s">
        <v>39</v>
      </c>
      <c r="L107" s="78" t="s">
        <v>152</v>
      </c>
      <c r="M107" s="78" t="s">
        <v>40</v>
      </c>
      <c r="N107" s="80">
        <v>5137802225</v>
      </c>
      <c r="O107" s="80"/>
      <c r="P107" s="80"/>
      <c r="Q107" s="80">
        <v>0</v>
      </c>
      <c r="R107" s="80">
        <v>0</v>
      </c>
      <c r="S107" s="80">
        <v>5137802225</v>
      </c>
      <c r="T107" s="80">
        <v>5137802225</v>
      </c>
      <c r="U107" s="80">
        <v>0</v>
      </c>
      <c r="V107" s="80">
        <v>962321647</v>
      </c>
      <c r="W107" s="80">
        <v>962321647</v>
      </c>
      <c r="X107" s="80">
        <v>962321647</v>
      </c>
      <c r="Y107" s="80">
        <v>962321647</v>
      </c>
      <c r="Z107" s="80">
        <v>0</v>
      </c>
      <c r="AA107" s="80">
        <v>0</v>
      </c>
      <c r="AB107" t="str">
        <f t="shared" si="5"/>
        <v>A-01-01-02-003</v>
      </c>
      <c r="AC107" t="str">
        <f t="shared" si="6"/>
        <v>A</v>
      </c>
    </row>
    <row r="108" spans="1:29" ht="21" hidden="1" customHeight="1">
      <c r="A108" s="78" t="s">
        <v>708</v>
      </c>
      <c r="B108" s="79">
        <v>2024</v>
      </c>
      <c r="C108" s="78" t="s">
        <v>3</v>
      </c>
      <c r="D108" s="78" t="s">
        <v>154</v>
      </c>
      <c r="E108" s="78" t="s">
        <v>151</v>
      </c>
      <c r="F108" s="78" t="s">
        <v>282</v>
      </c>
      <c r="G108" s="78" t="s">
        <v>283</v>
      </c>
      <c r="H108" s="78" t="s">
        <v>312</v>
      </c>
      <c r="I108" s="78" t="s">
        <v>313</v>
      </c>
      <c r="J108" s="78" t="s">
        <v>38</v>
      </c>
      <c r="K108" s="78" t="s">
        <v>39</v>
      </c>
      <c r="L108" s="78" t="s">
        <v>152</v>
      </c>
      <c r="M108" s="78" t="s">
        <v>40</v>
      </c>
      <c r="N108" s="80">
        <v>1692359139</v>
      </c>
      <c r="O108" s="80"/>
      <c r="P108" s="80"/>
      <c r="Q108" s="80">
        <v>0</v>
      </c>
      <c r="R108" s="80">
        <v>0</v>
      </c>
      <c r="S108" s="80">
        <v>1692359139</v>
      </c>
      <c r="T108" s="80">
        <v>1692359139</v>
      </c>
      <c r="U108" s="80">
        <v>0</v>
      </c>
      <c r="V108" s="80">
        <v>267348300</v>
      </c>
      <c r="W108" s="80">
        <v>267348300</v>
      </c>
      <c r="X108" s="80">
        <v>267348300</v>
      </c>
      <c r="Y108" s="80">
        <v>267348300</v>
      </c>
      <c r="Z108" s="80">
        <v>0</v>
      </c>
      <c r="AA108" s="80">
        <v>0</v>
      </c>
      <c r="AB108" t="str">
        <f t="shared" si="5"/>
        <v>A-01-01-02-004</v>
      </c>
      <c r="AC108" t="str">
        <f t="shared" si="6"/>
        <v>A</v>
      </c>
    </row>
    <row r="109" spans="1:29" ht="21" hidden="1" customHeight="1">
      <c r="A109" s="78" t="s">
        <v>708</v>
      </c>
      <c r="B109" s="79">
        <v>2024</v>
      </c>
      <c r="C109" s="78" t="s">
        <v>3</v>
      </c>
      <c r="D109" s="78" t="s">
        <v>154</v>
      </c>
      <c r="E109" s="78" t="s">
        <v>151</v>
      </c>
      <c r="F109" s="78" t="s">
        <v>282</v>
      </c>
      <c r="G109" s="78" t="s">
        <v>283</v>
      </c>
      <c r="H109" s="78" t="s">
        <v>314</v>
      </c>
      <c r="I109" s="78" t="s">
        <v>315</v>
      </c>
      <c r="J109" s="78" t="s">
        <v>38</v>
      </c>
      <c r="K109" s="78" t="s">
        <v>39</v>
      </c>
      <c r="L109" s="78" t="s">
        <v>152</v>
      </c>
      <c r="M109" s="78" t="s">
        <v>40</v>
      </c>
      <c r="N109" s="80">
        <v>212716749</v>
      </c>
      <c r="O109" s="80"/>
      <c r="P109" s="80"/>
      <c r="Q109" s="80">
        <v>0</v>
      </c>
      <c r="R109" s="80">
        <v>0</v>
      </c>
      <c r="S109" s="80">
        <v>212716749</v>
      </c>
      <c r="T109" s="80">
        <v>212716749</v>
      </c>
      <c r="U109" s="80">
        <v>0</v>
      </c>
      <c r="V109" s="80">
        <v>34011900</v>
      </c>
      <c r="W109" s="80">
        <v>34011900</v>
      </c>
      <c r="X109" s="80">
        <v>34011900</v>
      </c>
      <c r="Y109" s="80">
        <v>34011900</v>
      </c>
      <c r="Z109" s="80">
        <v>0</v>
      </c>
      <c r="AA109" s="80">
        <v>0</v>
      </c>
      <c r="AB109" t="str">
        <f t="shared" si="5"/>
        <v>A-01-01-02-005</v>
      </c>
      <c r="AC109" t="str">
        <f t="shared" si="6"/>
        <v>A</v>
      </c>
    </row>
    <row r="110" spans="1:29" ht="21" hidden="1" customHeight="1">
      <c r="A110" s="78" t="s">
        <v>708</v>
      </c>
      <c r="B110" s="79">
        <v>2024</v>
      </c>
      <c r="C110" s="78" t="s">
        <v>3</v>
      </c>
      <c r="D110" s="78" t="s">
        <v>154</v>
      </c>
      <c r="E110" s="78" t="s">
        <v>151</v>
      </c>
      <c r="F110" s="78" t="s">
        <v>282</v>
      </c>
      <c r="G110" s="78" t="s">
        <v>283</v>
      </c>
      <c r="H110" s="78" t="s">
        <v>316</v>
      </c>
      <c r="I110" s="78" t="s">
        <v>317</v>
      </c>
      <c r="J110" s="78" t="s">
        <v>38</v>
      </c>
      <c r="K110" s="78" t="s">
        <v>39</v>
      </c>
      <c r="L110" s="78" t="s">
        <v>152</v>
      </c>
      <c r="M110" s="78" t="s">
        <v>40</v>
      </c>
      <c r="N110" s="80">
        <v>1458538687</v>
      </c>
      <c r="O110" s="80"/>
      <c r="P110" s="80"/>
      <c r="Q110" s="80">
        <v>0</v>
      </c>
      <c r="R110" s="80">
        <v>0</v>
      </c>
      <c r="S110" s="80">
        <v>1458538687</v>
      </c>
      <c r="T110" s="80">
        <v>1458538687</v>
      </c>
      <c r="U110" s="80">
        <v>0</v>
      </c>
      <c r="V110" s="80">
        <v>200521600</v>
      </c>
      <c r="W110" s="80">
        <v>200521600</v>
      </c>
      <c r="X110" s="80">
        <v>200521600</v>
      </c>
      <c r="Y110" s="80">
        <v>200521600</v>
      </c>
      <c r="Z110" s="80">
        <v>0</v>
      </c>
      <c r="AA110" s="80">
        <v>0</v>
      </c>
      <c r="AB110" t="str">
        <f t="shared" si="5"/>
        <v>A-01-01-02-006</v>
      </c>
      <c r="AC110" t="str">
        <f t="shared" si="6"/>
        <v>A</v>
      </c>
    </row>
    <row r="111" spans="1:29" ht="21" hidden="1" customHeight="1">
      <c r="A111" s="78" t="s">
        <v>708</v>
      </c>
      <c r="B111" s="79">
        <v>2024</v>
      </c>
      <c r="C111" s="78" t="s">
        <v>3</v>
      </c>
      <c r="D111" s="78" t="s">
        <v>154</v>
      </c>
      <c r="E111" s="78" t="s">
        <v>151</v>
      </c>
      <c r="F111" s="78" t="s">
        <v>282</v>
      </c>
      <c r="G111" s="78" t="s">
        <v>283</v>
      </c>
      <c r="H111" s="78" t="s">
        <v>318</v>
      </c>
      <c r="I111" s="78" t="s">
        <v>319</v>
      </c>
      <c r="J111" s="78" t="s">
        <v>38</v>
      </c>
      <c r="K111" s="78" t="s">
        <v>39</v>
      </c>
      <c r="L111" s="78" t="s">
        <v>152</v>
      </c>
      <c r="M111" s="78" t="s">
        <v>40</v>
      </c>
      <c r="N111" s="80">
        <v>211544889</v>
      </c>
      <c r="O111" s="80"/>
      <c r="P111" s="80"/>
      <c r="Q111" s="80">
        <v>0</v>
      </c>
      <c r="R111" s="80">
        <v>0</v>
      </c>
      <c r="S111" s="80">
        <v>211544889</v>
      </c>
      <c r="T111" s="80">
        <v>211544889</v>
      </c>
      <c r="U111" s="80">
        <v>0</v>
      </c>
      <c r="V111" s="80">
        <v>33447300</v>
      </c>
      <c r="W111" s="80">
        <v>33447300</v>
      </c>
      <c r="X111" s="80">
        <v>33447300</v>
      </c>
      <c r="Y111" s="80">
        <v>33447300</v>
      </c>
      <c r="Z111" s="80">
        <v>0</v>
      </c>
      <c r="AA111" s="80">
        <v>0</v>
      </c>
      <c r="AB111" t="str">
        <f t="shared" si="5"/>
        <v>A-01-01-02-007</v>
      </c>
      <c r="AC111" t="str">
        <f t="shared" si="6"/>
        <v>A</v>
      </c>
    </row>
    <row r="112" spans="1:29" ht="21" hidden="1" customHeight="1">
      <c r="A112" s="78" t="s">
        <v>708</v>
      </c>
      <c r="B112" s="79">
        <v>2024</v>
      </c>
      <c r="C112" s="78" t="s">
        <v>3</v>
      </c>
      <c r="D112" s="78" t="s">
        <v>154</v>
      </c>
      <c r="E112" s="78" t="s">
        <v>151</v>
      </c>
      <c r="F112" s="78" t="s">
        <v>282</v>
      </c>
      <c r="G112" s="78" t="s">
        <v>283</v>
      </c>
      <c r="H112" s="78" t="s">
        <v>320</v>
      </c>
      <c r="I112" s="78" t="s">
        <v>321</v>
      </c>
      <c r="J112" s="78" t="s">
        <v>38</v>
      </c>
      <c r="K112" s="78" t="s">
        <v>39</v>
      </c>
      <c r="L112" s="78" t="s">
        <v>152</v>
      </c>
      <c r="M112" s="78" t="s">
        <v>40</v>
      </c>
      <c r="N112" s="80">
        <v>211544889</v>
      </c>
      <c r="O112" s="80"/>
      <c r="P112" s="80"/>
      <c r="Q112" s="80">
        <v>0</v>
      </c>
      <c r="R112" s="80">
        <v>0</v>
      </c>
      <c r="S112" s="80">
        <v>211544889</v>
      </c>
      <c r="T112" s="80">
        <v>211544889</v>
      </c>
      <c r="U112" s="80">
        <v>0</v>
      </c>
      <c r="V112" s="80">
        <v>33648600</v>
      </c>
      <c r="W112" s="80">
        <v>33648600</v>
      </c>
      <c r="X112" s="80">
        <v>33648600</v>
      </c>
      <c r="Y112" s="80">
        <v>33648600</v>
      </c>
      <c r="Z112" s="80">
        <v>0</v>
      </c>
      <c r="AA112" s="80">
        <v>0</v>
      </c>
      <c r="AB112" t="str">
        <f t="shared" si="5"/>
        <v>A-01-01-02-008</v>
      </c>
      <c r="AC112" t="str">
        <f t="shared" si="6"/>
        <v>A</v>
      </c>
    </row>
    <row r="113" spans="1:29" ht="21" hidden="1" customHeight="1">
      <c r="A113" s="78" t="s">
        <v>708</v>
      </c>
      <c r="B113" s="79">
        <v>2024</v>
      </c>
      <c r="C113" s="78" t="s">
        <v>3</v>
      </c>
      <c r="D113" s="78" t="s">
        <v>154</v>
      </c>
      <c r="E113" s="78" t="s">
        <v>151</v>
      </c>
      <c r="F113" s="78" t="s">
        <v>282</v>
      </c>
      <c r="G113" s="78" t="s">
        <v>283</v>
      </c>
      <c r="H113" s="78" t="s">
        <v>322</v>
      </c>
      <c r="I113" s="78" t="s">
        <v>323</v>
      </c>
      <c r="J113" s="78" t="s">
        <v>38</v>
      </c>
      <c r="K113" s="78" t="s">
        <v>39</v>
      </c>
      <c r="L113" s="78" t="s">
        <v>152</v>
      </c>
      <c r="M113" s="78" t="s">
        <v>40</v>
      </c>
      <c r="N113" s="80">
        <v>453089807</v>
      </c>
      <c r="O113" s="80"/>
      <c r="P113" s="80"/>
      <c r="Q113" s="80">
        <v>0</v>
      </c>
      <c r="R113" s="80">
        <v>0</v>
      </c>
      <c r="S113" s="80">
        <v>453089807</v>
      </c>
      <c r="T113" s="80">
        <v>453089807</v>
      </c>
      <c r="U113" s="80">
        <v>0</v>
      </c>
      <c r="V113" s="80">
        <v>66660400</v>
      </c>
      <c r="W113" s="80">
        <v>66660400</v>
      </c>
      <c r="X113" s="80">
        <v>66660400</v>
      </c>
      <c r="Y113" s="80">
        <v>66660400</v>
      </c>
      <c r="Z113" s="80">
        <v>0</v>
      </c>
      <c r="AA113" s="80">
        <v>0</v>
      </c>
      <c r="AB113" t="str">
        <f t="shared" si="5"/>
        <v>A-01-01-02-009</v>
      </c>
      <c r="AC113" t="str">
        <f t="shared" si="6"/>
        <v>A</v>
      </c>
    </row>
    <row r="114" spans="1:29" ht="21" hidden="1" customHeight="1">
      <c r="A114" s="78" t="s">
        <v>708</v>
      </c>
      <c r="B114" s="79">
        <v>2024</v>
      </c>
      <c r="C114" s="78" t="s">
        <v>3</v>
      </c>
      <c r="D114" s="78" t="s">
        <v>154</v>
      </c>
      <c r="E114" s="78" t="s">
        <v>151</v>
      </c>
      <c r="F114" s="78" t="s">
        <v>282</v>
      </c>
      <c r="G114" s="78" t="s">
        <v>283</v>
      </c>
      <c r="H114" s="78" t="s">
        <v>324</v>
      </c>
      <c r="I114" s="78" t="s">
        <v>325</v>
      </c>
      <c r="J114" s="78" t="s">
        <v>38</v>
      </c>
      <c r="K114" s="78" t="s">
        <v>39</v>
      </c>
      <c r="L114" s="78" t="s">
        <v>152</v>
      </c>
      <c r="M114" s="78" t="s">
        <v>40</v>
      </c>
      <c r="N114" s="80">
        <v>1061472933</v>
      </c>
      <c r="O114" s="80"/>
      <c r="P114" s="80"/>
      <c r="Q114" s="80">
        <v>0</v>
      </c>
      <c r="R114" s="80">
        <v>0</v>
      </c>
      <c r="S114" s="80">
        <v>1061472933</v>
      </c>
      <c r="T114" s="80">
        <v>1061472933</v>
      </c>
      <c r="U114" s="80">
        <v>0</v>
      </c>
      <c r="V114" s="80">
        <v>108815535</v>
      </c>
      <c r="W114" s="80">
        <v>108815535</v>
      </c>
      <c r="X114" s="80">
        <v>108815535</v>
      </c>
      <c r="Y114" s="80">
        <v>108815535</v>
      </c>
      <c r="Z114" s="80">
        <v>0</v>
      </c>
      <c r="AA114" s="80">
        <v>0</v>
      </c>
      <c r="AB114" t="str">
        <f t="shared" si="5"/>
        <v>A-01-01-03-001</v>
      </c>
      <c r="AC114" t="str">
        <f t="shared" si="6"/>
        <v>A</v>
      </c>
    </row>
    <row r="115" spans="1:29" ht="21" hidden="1" customHeight="1">
      <c r="A115" s="78" t="s">
        <v>708</v>
      </c>
      <c r="B115" s="79">
        <v>2024</v>
      </c>
      <c r="C115" s="78" t="s">
        <v>3</v>
      </c>
      <c r="D115" s="78" t="s">
        <v>154</v>
      </c>
      <c r="E115" s="78" t="s">
        <v>151</v>
      </c>
      <c r="F115" s="78" t="s">
        <v>282</v>
      </c>
      <c r="G115" s="78" t="s">
        <v>283</v>
      </c>
      <c r="H115" s="78" t="s">
        <v>326</v>
      </c>
      <c r="I115" s="78" t="s">
        <v>327</v>
      </c>
      <c r="J115" s="78" t="s">
        <v>38</v>
      </c>
      <c r="K115" s="78" t="s">
        <v>39</v>
      </c>
      <c r="L115" s="78" t="s">
        <v>152</v>
      </c>
      <c r="M115" s="78" t="s">
        <v>40</v>
      </c>
      <c r="N115" s="80">
        <v>844980160</v>
      </c>
      <c r="O115" s="80"/>
      <c r="P115" s="80"/>
      <c r="Q115" s="80">
        <v>0</v>
      </c>
      <c r="R115" s="80">
        <v>0</v>
      </c>
      <c r="S115" s="80">
        <v>844980160</v>
      </c>
      <c r="T115" s="80">
        <v>844980160</v>
      </c>
      <c r="U115" s="80">
        <v>0</v>
      </c>
      <c r="V115" s="80">
        <v>55253437</v>
      </c>
      <c r="W115" s="80">
        <v>55253437</v>
      </c>
      <c r="X115" s="80">
        <v>55253437</v>
      </c>
      <c r="Y115" s="80">
        <v>45121805</v>
      </c>
      <c r="Z115" s="80">
        <v>0</v>
      </c>
      <c r="AA115" s="80">
        <v>0</v>
      </c>
      <c r="AB115" t="str">
        <f t="shared" si="5"/>
        <v>A-01-01-03-001</v>
      </c>
      <c r="AC115" t="str">
        <f t="shared" si="6"/>
        <v>A</v>
      </c>
    </row>
    <row r="116" spans="1:29" ht="21" hidden="1" customHeight="1">
      <c r="A116" s="78" t="s">
        <v>708</v>
      </c>
      <c r="B116" s="79">
        <v>2024</v>
      </c>
      <c r="C116" s="78" t="s">
        <v>3</v>
      </c>
      <c r="D116" s="78" t="s">
        <v>154</v>
      </c>
      <c r="E116" s="78" t="s">
        <v>151</v>
      </c>
      <c r="F116" s="78" t="s">
        <v>282</v>
      </c>
      <c r="G116" s="78" t="s">
        <v>283</v>
      </c>
      <c r="H116" s="78" t="s">
        <v>328</v>
      </c>
      <c r="I116" s="78" t="s">
        <v>329</v>
      </c>
      <c r="J116" s="78" t="s">
        <v>38</v>
      </c>
      <c r="K116" s="78" t="s">
        <v>39</v>
      </c>
      <c r="L116" s="78" t="s">
        <v>152</v>
      </c>
      <c r="M116" s="78" t="s">
        <v>40</v>
      </c>
      <c r="N116" s="80">
        <v>180273367</v>
      </c>
      <c r="O116" s="80"/>
      <c r="P116" s="80"/>
      <c r="Q116" s="80">
        <v>0</v>
      </c>
      <c r="R116" s="80">
        <v>0</v>
      </c>
      <c r="S116" s="80">
        <v>180273367</v>
      </c>
      <c r="T116" s="80">
        <v>180273367</v>
      </c>
      <c r="U116" s="80">
        <v>0</v>
      </c>
      <c r="V116" s="80">
        <v>11926501</v>
      </c>
      <c r="W116" s="80">
        <v>11926501</v>
      </c>
      <c r="X116" s="80">
        <v>11926501</v>
      </c>
      <c r="Y116" s="80">
        <v>11726321</v>
      </c>
      <c r="Z116" s="80">
        <v>0</v>
      </c>
      <c r="AA116" s="80">
        <v>0</v>
      </c>
      <c r="AB116" t="str">
        <f t="shared" si="5"/>
        <v>A-01-01-03-001</v>
      </c>
      <c r="AC116" t="str">
        <f t="shared" si="6"/>
        <v>A</v>
      </c>
    </row>
    <row r="117" spans="1:29" ht="21" hidden="1" customHeight="1">
      <c r="A117" s="78" t="s">
        <v>708</v>
      </c>
      <c r="B117" s="79">
        <v>2024</v>
      </c>
      <c r="C117" s="78" t="s">
        <v>3</v>
      </c>
      <c r="D117" s="78" t="s">
        <v>154</v>
      </c>
      <c r="E117" s="78" t="s">
        <v>151</v>
      </c>
      <c r="F117" s="78" t="s">
        <v>282</v>
      </c>
      <c r="G117" s="78" t="s">
        <v>283</v>
      </c>
      <c r="H117" s="78" t="s">
        <v>330</v>
      </c>
      <c r="I117" s="78" t="s">
        <v>331</v>
      </c>
      <c r="J117" s="78" t="s">
        <v>38</v>
      </c>
      <c r="K117" s="78" t="s">
        <v>39</v>
      </c>
      <c r="L117" s="78" t="s">
        <v>152</v>
      </c>
      <c r="M117" s="78" t="s">
        <v>40</v>
      </c>
      <c r="N117" s="80">
        <v>2143267521</v>
      </c>
      <c r="O117" s="80"/>
      <c r="P117" s="80"/>
      <c r="Q117" s="80">
        <v>0</v>
      </c>
      <c r="R117" s="80">
        <v>0</v>
      </c>
      <c r="S117" s="80">
        <v>2143267521</v>
      </c>
      <c r="T117" s="80">
        <v>2143267521</v>
      </c>
      <c r="U117" s="80">
        <v>0</v>
      </c>
      <c r="V117" s="80">
        <v>375147372</v>
      </c>
      <c r="W117" s="80">
        <v>375147372</v>
      </c>
      <c r="X117" s="80">
        <v>375147372</v>
      </c>
      <c r="Y117" s="80">
        <v>375147372</v>
      </c>
      <c r="Z117" s="80">
        <v>0</v>
      </c>
      <c r="AA117" s="80">
        <v>0</v>
      </c>
      <c r="AB117" t="str">
        <f t="shared" si="5"/>
        <v>A-01-01-03-002</v>
      </c>
      <c r="AC117" t="str">
        <f t="shared" si="6"/>
        <v>A</v>
      </c>
    </row>
    <row r="118" spans="1:29" ht="21" hidden="1" customHeight="1">
      <c r="A118" s="78" t="s">
        <v>708</v>
      </c>
      <c r="B118" s="79">
        <v>2024</v>
      </c>
      <c r="C118" s="78" t="s">
        <v>3</v>
      </c>
      <c r="D118" s="78" t="s">
        <v>154</v>
      </c>
      <c r="E118" s="78" t="s">
        <v>151</v>
      </c>
      <c r="F118" s="78" t="s">
        <v>282</v>
      </c>
      <c r="G118" s="78" t="s">
        <v>283</v>
      </c>
      <c r="H118" s="78" t="s">
        <v>332</v>
      </c>
      <c r="I118" s="78" t="s">
        <v>333</v>
      </c>
      <c r="J118" s="78" t="s">
        <v>38</v>
      </c>
      <c r="K118" s="78" t="s">
        <v>39</v>
      </c>
      <c r="L118" s="78" t="s">
        <v>152</v>
      </c>
      <c r="M118" s="78" t="s">
        <v>40</v>
      </c>
      <c r="N118" s="80">
        <v>10302983</v>
      </c>
      <c r="O118" s="80"/>
      <c r="P118" s="80"/>
      <c r="Q118" s="80">
        <v>0</v>
      </c>
      <c r="R118" s="80">
        <v>0</v>
      </c>
      <c r="S118" s="80">
        <v>10302983</v>
      </c>
      <c r="T118" s="80">
        <v>10302983</v>
      </c>
      <c r="U118" s="80">
        <v>0</v>
      </c>
      <c r="V118" s="80">
        <v>1085883</v>
      </c>
      <c r="W118" s="80">
        <v>1085883</v>
      </c>
      <c r="X118" s="80">
        <v>1085883</v>
      </c>
      <c r="Y118" s="80">
        <v>1085883</v>
      </c>
      <c r="Z118" s="80">
        <v>0</v>
      </c>
      <c r="AA118" s="80">
        <v>0</v>
      </c>
      <c r="AB118" t="str">
        <f t="shared" si="5"/>
        <v>A-01-01-03-005</v>
      </c>
      <c r="AC118" t="str">
        <f t="shared" si="6"/>
        <v>A</v>
      </c>
    </row>
    <row r="119" spans="1:29" ht="21" hidden="1" customHeight="1">
      <c r="A119" s="78" t="s">
        <v>708</v>
      </c>
      <c r="B119" s="79">
        <v>2024</v>
      </c>
      <c r="C119" s="78" t="s">
        <v>3</v>
      </c>
      <c r="D119" s="78" t="s">
        <v>154</v>
      </c>
      <c r="E119" s="78" t="s">
        <v>151</v>
      </c>
      <c r="F119" s="78" t="s">
        <v>282</v>
      </c>
      <c r="G119" s="78" t="s">
        <v>283</v>
      </c>
      <c r="H119" s="78" t="s">
        <v>334</v>
      </c>
      <c r="I119" s="78" t="s">
        <v>335</v>
      </c>
      <c r="J119" s="78" t="s">
        <v>38</v>
      </c>
      <c r="K119" s="78" t="s">
        <v>39</v>
      </c>
      <c r="L119" s="78" t="s">
        <v>152</v>
      </c>
      <c r="M119" s="78" t="s">
        <v>40</v>
      </c>
      <c r="N119" s="80">
        <v>406608273</v>
      </c>
      <c r="O119" s="80">
        <v>1</v>
      </c>
      <c r="P119" s="80">
        <v>1</v>
      </c>
      <c r="Q119" s="80">
        <v>0</v>
      </c>
      <c r="R119" s="80">
        <v>0</v>
      </c>
      <c r="S119" s="80">
        <v>406608273</v>
      </c>
      <c r="T119" s="80">
        <v>406608273</v>
      </c>
      <c r="U119" s="80">
        <v>0</v>
      </c>
      <c r="V119" s="80">
        <v>46915005</v>
      </c>
      <c r="W119" s="80">
        <v>45838422.920000002</v>
      </c>
      <c r="X119" s="80">
        <v>45838422.920000002</v>
      </c>
      <c r="Y119" s="80">
        <v>45838422.920000002</v>
      </c>
      <c r="Z119" s="80">
        <v>0</v>
      </c>
      <c r="AA119" s="80">
        <v>0</v>
      </c>
      <c r="AB119" t="str">
        <f t="shared" si="5"/>
        <v>A-01-01-03-009</v>
      </c>
      <c r="AC119" t="str">
        <f t="shared" si="6"/>
        <v>A</v>
      </c>
    </row>
    <row r="120" spans="1:29" ht="21" hidden="1" customHeight="1">
      <c r="A120" s="78" t="s">
        <v>708</v>
      </c>
      <c r="B120" s="79">
        <v>2024</v>
      </c>
      <c r="C120" s="78" t="s">
        <v>3</v>
      </c>
      <c r="D120" s="78" t="s">
        <v>154</v>
      </c>
      <c r="E120" s="78" t="s">
        <v>151</v>
      </c>
      <c r="F120" s="78" t="s">
        <v>282</v>
      </c>
      <c r="G120" s="78" t="s">
        <v>283</v>
      </c>
      <c r="H120" s="78" t="s">
        <v>336</v>
      </c>
      <c r="I120" s="78" t="s">
        <v>337</v>
      </c>
      <c r="J120" s="78" t="s">
        <v>38</v>
      </c>
      <c r="K120" s="78" t="s">
        <v>39</v>
      </c>
      <c r="L120" s="78" t="s">
        <v>152</v>
      </c>
      <c r="M120" s="78" t="s">
        <v>40</v>
      </c>
      <c r="N120" s="80">
        <v>147962602</v>
      </c>
      <c r="O120" s="80"/>
      <c r="P120" s="80"/>
      <c r="Q120" s="80">
        <v>0</v>
      </c>
      <c r="R120" s="80">
        <v>0</v>
      </c>
      <c r="S120" s="80">
        <v>147962602</v>
      </c>
      <c r="T120" s="80">
        <v>147962602</v>
      </c>
      <c r="U120" s="80">
        <v>0</v>
      </c>
      <c r="V120" s="80">
        <v>27629579</v>
      </c>
      <c r="W120" s="80">
        <v>27629579</v>
      </c>
      <c r="X120" s="80">
        <v>27629579</v>
      </c>
      <c r="Y120" s="80">
        <v>27629579</v>
      </c>
      <c r="Z120" s="80">
        <v>0</v>
      </c>
      <c r="AA120" s="80">
        <v>0</v>
      </c>
      <c r="AB120" t="str">
        <f t="shared" si="5"/>
        <v>A-01-01-03-016</v>
      </c>
      <c r="AC120" t="str">
        <f t="shared" si="6"/>
        <v>A</v>
      </c>
    </row>
    <row r="121" spans="1:29" ht="21" hidden="1" customHeight="1">
      <c r="A121" s="78" t="s">
        <v>708</v>
      </c>
      <c r="B121" s="79">
        <v>2024</v>
      </c>
      <c r="C121" s="78" t="s">
        <v>3</v>
      </c>
      <c r="D121" s="78" t="s">
        <v>154</v>
      </c>
      <c r="E121" s="78" t="s">
        <v>151</v>
      </c>
      <c r="F121" s="78" t="s">
        <v>282</v>
      </c>
      <c r="G121" s="78" t="s">
        <v>283</v>
      </c>
      <c r="H121" s="78" t="s">
        <v>338</v>
      </c>
      <c r="I121" s="78" t="s">
        <v>339</v>
      </c>
      <c r="J121" s="78" t="s">
        <v>38</v>
      </c>
      <c r="K121" s="78" t="s">
        <v>39</v>
      </c>
      <c r="L121" s="78" t="s">
        <v>152</v>
      </c>
      <c r="M121" s="78" t="s">
        <v>40</v>
      </c>
      <c r="N121" s="80">
        <v>1880732161</v>
      </c>
      <c r="O121" s="80"/>
      <c r="P121" s="80"/>
      <c r="Q121" s="80">
        <v>0</v>
      </c>
      <c r="R121" s="80">
        <v>0</v>
      </c>
      <c r="S121" s="80">
        <v>1880732161</v>
      </c>
      <c r="T121" s="80">
        <v>1880732161</v>
      </c>
      <c r="U121" s="80">
        <v>0</v>
      </c>
      <c r="V121" s="80">
        <v>10438821</v>
      </c>
      <c r="W121" s="80">
        <v>10438821</v>
      </c>
      <c r="X121" s="80">
        <v>10438821</v>
      </c>
      <c r="Y121" s="80">
        <v>0</v>
      </c>
      <c r="Z121" s="80">
        <v>0</v>
      </c>
      <c r="AA121" s="80">
        <v>0</v>
      </c>
      <c r="AB121" t="str">
        <f t="shared" si="5"/>
        <v>A-01-01-03-030</v>
      </c>
      <c r="AC121" t="str">
        <f t="shared" si="6"/>
        <v>A</v>
      </c>
    </row>
    <row r="122" spans="1:29" ht="21" hidden="1" customHeight="1">
      <c r="A122" s="78" t="s">
        <v>708</v>
      </c>
      <c r="B122" s="79">
        <v>2024</v>
      </c>
      <c r="C122" s="78" t="s">
        <v>3</v>
      </c>
      <c r="D122" s="78" t="s">
        <v>154</v>
      </c>
      <c r="E122" s="78" t="s">
        <v>151</v>
      </c>
      <c r="F122" s="78" t="s">
        <v>282</v>
      </c>
      <c r="G122" s="78" t="s">
        <v>283</v>
      </c>
      <c r="H122" s="78" t="s">
        <v>340</v>
      </c>
      <c r="I122" s="78" t="s">
        <v>341</v>
      </c>
      <c r="J122" s="78" t="s">
        <v>38</v>
      </c>
      <c r="K122" s="78" t="s">
        <v>39</v>
      </c>
      <c r="L122" s="78" t="s">
        <v>152</v>
      </c>
      <c r="M122" s="78" t="s">
        <v>40</v>
      </c>
      <c r="N122" s="80">
        <v>116000000</v>
      </c>
      <c r="O122" s="80"/>
      <c r="P122" s="80"/>
      <c r="Q122" s="80">
        <v>0</v>
      </c>
      <c r="R122" s="80">
        <v>0</v>
      </c>
      <c r="S122" s="80">
        <v>116000000</v>
      </c>
      <c r="T122" s="80">
        <v>0</v>
      </c>
      <c r="U122" s="80">
        <v>116000000</v>
      </c>
      <c r="V122" s="80"/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t="str">
        <f t="shared" si="5"/>
        <v>A-02-02-01-002</v>
      </c>
      <c r="AC122" t="str">
        <f t="shared" si="6"/>
        <v>A</v>
      </c>
    </row>
    <row r="123" spans="1:29" ht="21" hidden="1" customHeight="1">
      <c r="A123" s="78" t="s">
        <v>708</v>
      </c>
      <c r="B123" s="79">
        <v>2024</v>
      </c>
      <c r="C123" s="78" t="s">
        <v>3</v>
      </c>
      <c r="D123" s="78" t="s">
        <v>154</v>
      </c>
      <c r="E123" s="78" t="s">
        <v>151</v>
      </c>
      <c r="F123" s="78" t="s">
        <v>282</v>
      </c>
      <c r="G123" s="78" t="s">
        <v>283</v>
      </c>
      <c r="H123" s="78" t="s">
        <v>342</v>
      </c>
      <c r="I123" s="78" t="s">
        <v>343</v>
      </c>
      <c r="J123" s="78" t="s">
        <v>38</v>
      </c>
      <c r="K123" s="78" t="s">
        <v>39</v>
      </c>
      <c r="L123" s="78" t="s">
        <v>152</v>
      </c>
      <c r="M123" s="78" t="s">
        <v>40</v>
      </c>
      <c r="N123" s="80">
        <v>58920368</v>
      </c>
      <c r="O123" s="80"/>
      <c r="P123" s="80"/>
      <c r="Q123" s="80">
        <v>0</v>
      </c>
      <c r="R123" s="80">
        <v>0</v>
      </c>
      <c r="S123" s="80">
        <v>58920368</v>
      </c>
      <c r="T123" s="80">
        <v>0</v>
      </c>
      <c r="U123" s="80">
        <v>58920368</v>
      </c>
      <c r="V123" s="80"/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t="str">
        <f t="shared" si="5"/>
        <v>A-02-02-01-003</v>
      </c>
      <c r="AC123" t="str">
        <f t="shared" si="6"/>
        <v>A</v>
      </c>
    </row>
    <row r="124" spans="1:29" ht="21" hidden="1" customHeight="1">
      <c r="A124" s="78" t="s">
        <v>708</v>
      </c>
      <c r="B124" s="79">
        <v>2024</v>
      </c>
      <c r="C124" s="78" t="s">
        <v>3</v>
      </c>
      <c r="D124" s="78" t="s">
        <v>154</v>
      </c>
      <c r="E124" s="78" t="s">
        <v>151</v>
      </c>
      <c r="F124" s="78" t="s">
        <v>282</v>
      </c>
      <c r="G124" s="78" t="s">
        <v>283</v>
      </c>
      <c r="H124" s="78" t="s">
        <v>242</v>
      </c>
      <c r="I124" s="78" t="s">
        <v>243</v>
      </c>
      <c r="J124" s="78" t="s">
        <v>38</v>
      </c>
      <c r="K124" s="78" t="s">
        <v>39</v>
      </c>
      <c r="L124" s="78" t="s">
        <v>152</v>
      </c>
      <c r="M124" s="78" t="s">
        <v>40</v>
      </c>
      <c r="N124" s="80">
        <v>62666633</v>
      </c>
      <c r="O124" s="80"/>
      <c r="P124" s="80"/>
      <c r="Q124" s="80">
        <v>0</v>
      </c>
      <c r="R124" s="80">
        <v>0</v>
      </c>
      <c r="S124" s="80">
        <v>62666633</v>
      </c>
      <c r="T124" s="80">
        <v>0</v>
      </c>
      <c r="U124" s="80">
        <v>62666633</v>
      </c>
      <c r="V124" s="80"/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t="str">
        <f t="shared" si="5"/>
        <v>A-02-02-01-003</v>
      </c>
      <c r="AC124" t="str">
        <f t="shared" si="6"/>
        <v>A</v>
      </c>
    </row>
    <row r="125" spans="1:29" ht="21" hidden="1" customHeight="1">
      <c r="A125" s="78" t="s">
        <v>708</v>
      </c>
      <c r="B125" s="79">
        <v>2024</v>
      </c>
      <c r="C125" s="78" t="s">
        <v>3</v>
      </c>
      <c r="D125" s="78" t="s">
        <v>154</v>
      </c>
      <c r="E125" s="78" t="s">
        <v>151</v>
      </c>
      <c r="F125" s="78" t="s">
        <v>282</v>
      </c>
      <c r="G125" s="78" t="s">
        <v>283</v>
      </c>
      <c r="H125" s="78" t="s">
        <v>244</v>
      </c>
      <c r="I125" s="78" t="s">
        <v>245</v>
      </c>
      <c r="J125" s="78" t="s">
        <v>38</v>
      </c>
      <c r="K125" s="78" t="s">
        <v>39</v>
      </c>
      <c r="L125" s="78" t="s">
        <v>152</v>
      </c>
      <c r="M125" s="78" t="s">
        <v>40</v>
      </c>
      <c r="N125" s="80">
        <v>230480000</v>
      </c>
      <c r="O125" s="80"/>
      <c r="P125" s="80"/>
      <c r="Q125" s="80">
        <v>0</v>
      </c>
      <c r="R125" s="80">
        <v>0</v>
      </c>
      <c r="S125" s="80">
        <v>230480000</v>
      </c>
      <c r="T125" s="80">
        <v>230480000</v>
      </c>
      <c r="U125" s="80">
        <v>0</v>
      </c>
      <c r="V125" s="80">
        <v>182861690</v>
      </c>
      <c r="W125" s="80">
        <v>21062171</v>
      </c>
      <c r="X125" s="80">
        <v>20303177</v>
      </c>
      <c r="Y125" s="80">
        <v>20050179</v>
      </c>
      <c r="Z125" s="80">
        <v>0</v>
      </c>
      <c r="AA125" s="80">
        <v>0</v>
      </c>
      <c r="AB125" t="str">
        <f t="shared" si="5"/>
        <v>A-02-02-02-006</v>
      </c>
      <c r="AC125" t="str">
        <f t="shared" si="6"/>
        <v>A</v>
      </c>
    </row>
    <row r="126" spans="1:29" ht="21" hidden="1" customHeight="1">
      <c r="A126" s="78" t="s">
        <v>708</v>
      </c>
      <c r="B126" s="79">
        <v>2024</v>
      </c>
      <c r="C126" s="78" t="s">
        <v>3</v>
      </c>
      <c r="D126" s="78" t="s">
        <v>154</v>
      </c>
      <c r="E126" s="78" t="s">
        <v>151</v>
      </c>
      <c r="F126" s="78" t="s">
        <v>282</v>
      </c>
      <c r="G126" s="78" t="s">
        <v>283</v>
      </c>
      <c r="H126" s="78" t="s">
        <v>246</v>
      </c>
      <c r="I126" s="78" t="s">
        <v>247</v>
      </c>
      <c r="J126" s="78" t="s">
        <v>38</v>
      </c>
      <c r="K126" s="78" t="s">
        <v>39</v>
      </c>
      <c r="L126" s="78" t="s">
        <v>152</v>
      </c>
      <c r="M126" s="78" t="s">
        <v>40</v>
      </c>
      <c r="N126" s="80">
        <v>1072000000</v>
      </c>
      <c r="O126" s="80"/>
      <c r="P126" s="80"/>
      <c r="Q126" s="80">
        <v>0</v>
      </c>
      <c r="R126" s="80">
        <v>0</v>
      </c>
      <c r="S126" s="80">
        <v>1072000000</v>
      </c>
      <c r="T126" s="80">
        <v>1072000000</v>
      </c>
      <c r="U126" s="80">
        <v>0</v>
      </c>
      <c r="V126" s="80">
        <v>454259354</v>
      </c>
      <c r="W126" s="80">
        <v>50995509</v>
      </c>
      <c r="X126" s="80">
        <v>49109526</v>
      </c>
      <c r="Y126" s="80">
        <v>48480865</v>
      </c>
      <c r="Z126" s="80">
        <v>0</v>
      </c>
      <c r="AA126" s="80">
        <v>0</v>
      </c>
      <c r="AB126" t="str">
        <f t="shared" si="5"/>
        <v>A-02-02-02-006</v>
      </c>
      <c r="AC126" t="str">
        <f t="shared" si="6"/>
        <v>A</v>
      </c>
    </row>
    <row r="127" spans="1:29" ht="21" hidden="1" customHeight="1">
      <c r="A127" s="78" t="s">
        <v>708</v>
      </c>
      <c r="B127" s="79">
        <v>2024</v>
      </c>
      <c r="C127" s="78" t="s">
        <v>3</v>
      </c>
      <c r="D127" s="78" t="s">
        <v>154</v>
      </c>
      <c r="E127" s="78" t="s">
        <v>151</v>
      </c>
      <c r="F127" s="78" t="s">
        <v>282</v>
      </c>
      <c r="G127" s="78" t="s">
        <v>283</v>
      </c>
      <c r="H127" s="78" t="s">
        <v>157</v>
      </c>
      <c r="I127" s="78" t="s">
        <v>158</v>
      </c>
      <c r="J127" s="78" t="s">
        <v>38</v>
      </c>
      <c r="K127" s="78" t="s">
        <v>39</v>
      </c>
      <c r="L127" s="78" t="s">
        <v>152</v>
      </c>
      <c r="M127" s="78" t="s">
        <v>40</v>
      </c>
      <c r="N127" s="80">
        <v>673581889</v>
      </c>
      <c r="O127" s="80"/>
      <c r="P127" s="80"/>
      <c r="Q127" s="80">
        <v>0</v>
      </c>
      <c r="R127" s="80">
        <v>0</v>
      </c>
      <c r="S127" s="80">
        <v>673581889</v>
      </c>
      <c r="T127" s="80">
        <v>667743278</v>
      </c>
      <c r="U127" s="80">
        <v>5838611</v>
      </c>
      <c r="V127" s="80">
        <v>654806633</v>
      </c>
      <c r="W127" s="80">
        <v>49426647</v>
      </c>
      <c r="X127" s="80">
        <v>49426647</v>
      </c>
      <c r="Y127" s="80">
        <v>49426647</v>
      </c>
      <c r="Z127" s="80">
        <v>0</v>
      </c>
      <c r="AA127" s="80">
        <v>0</v>
      </c>
      <c r="AB127" t="str">
        <f t="shared" si="5"/>
        <v>A-02-02-02-008</v>
      </c>
      <c r="AC127" t="str">
        <f t="shared" si="6"/>
        <v>A</v>
      </c>
    </row>
    <row r="128" spans="1:29" ht="21" hidden="1" customHeight="1">
      <c r="A128" s="78" t="s">
        <v>708</v>
      </c>
      <c r="B128" s="79">
        <v>2024</v>
      </c>
      <c r="C128" s="78" t="s">
        <v>3</v>
      </c>
      <c r="D128" s="78" t="s">
        <v>154</v>
      </c>
      <c r="E128" s="78" t="s">
        <v>151</v>
      </c>
      <c r="F128" s="78" t="s">
        <v>282</v>
      </c>
      <c r="G128" s="78" t="s">
        <v>283</v>
      </c>
      <c r="H128" s="78" t="s">
        <v>159</v>
      </c>
      <c r="I128" s="78" t="s">
        <v>160</v>
      </c>
      <c r="J128" s="78" t="s">
        <v>38</v>
      </c>
      <c r="K128" s="78" t="s">
        <v>39</v>
      </c>
      <c r="L128" s="78" t="s">
        <v>152</v>
      </c>
      <c r="M128" s="78" t="s">
        <v>40</v>
      </c>
      <c r="N128" s="80">
        <v>657000000</v>
      </c>
      <c r="O128" s="80"/>
      <c r="P128" s="80"/>
      <c r="Q128" s="80">
        <v>0</v>
      </c>
      <c r="R128" s="80">
        <v>0</v>
      </c>
      <c r="S128" s="80">
        <v>657000000</v>
      </c>
      <c r="T128" s="80">
        <v>652899955</v>
      </c>
      <c r="U128" s="80">
        <v>4100045</v>
      </c>
      <c r="V128" s="80">
        <v>627456663</v>
      </c>
      <c r="W128" s="80">
        <v>26239988</v>
      </c>
      <c r="X128" s="80">
        <v>26239988</v>
      </c>
      <c r="Y128" s="80">
        <v>17766655</v>
      </c>
      <c r="Z128" s="80">
        <v>0</v>
      </c>
      <c r="AA128" s="80">
        <v>0</v>
      </c>
      <c r="AB128" t="str">
        <f t="shared" si="5"/>
        <v>A-02-02-02-008</v>
      </c>
      <c r="AC128" t="str">
        <f t="shared" si="6"/>
        <v>A</v>
      </c>
    </row>
    <row r="129" spans="1:29" ht="21" hidden="1" customHeight="1">
      <c r="A129" s="78" t="s">
        <v>708</v>
      </c>
      <c r="B129" s="79">
        <v>2024</v>
      </c>
      <c r="C129" s="78" t="s">
        <v>3</v>
      </c>
      <c r="D129" s="78" t="s">
        <v>154</v>
      </c>
      <c r="E129" s="78" t="s">
        <v>151</v>
      </c>
      <c r="F129" s="78" t="s">
        <v>282</v>
      </c>
      <c r="G129" s="78" t="s">
        <v>283</v>
      </c>
      <c r="H129" s="78" t="s">
        <v>161</v>
      </c>
      <c r="I129" s="78" t="s">
        <v>162</v>
      </c>
      <c r="J129" s="78" t="s">
        <v>38</v>
      </c>
      <c r="K129" s="78" t="s">
        <v>39</v>
      </c>
      <c r="L129" s="78" t="s">
        <v>152</v>
      </c>
      <c r="M129" s="78" t="s">
        <v>40</v>
      </c>
      <c r="N129" s="80">
        <v>487862790</v>
      </c>
      <c r="O129" s="80"/>
      <c r="P129" s="80"/>
      <c r="Q129" s="80">
        <v>0</v>
      </c>
      <c r="R129" s="80">
        <v>0</v>
      </c>
      <c r="S129" s="80">
        <v>487862790</v>
      </c>
      <c r="T129" s="80">
        <v>487862790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t="str">
        <f t="shared" si="5"/>
        <v>A-02-02-02-008</v>
      </c>
      <c r="AC129" t="str">
        <f t="shared" si="6"/>
        <v>A</v>
      </c>
    </row>
    <row r="130" spans="1:29" ht="21" hidden="1" customHeight="1">
      <c r="A130" s="78" t="s">
        <v>708</v>
      </c>
      <c r="B130" s="79">
        <v>2024</v>
      </c>
      <c r="C130" s="78" t="s">
        <v>3</v>
      </c>
      <c r="D130" s="78" t="s">
        <v>154</v>
      </c>
      <c r="E130" s="78" t="s">
        <v>151</v>
      </c>
      <c r="F130" s="78" t="s">
        <v>282</v>
      </c>
      <c r="G130" s="78" t="s">
        <v>283</v>
      </c>
      <c r="H130" s="78" t="s">
        <v>258</v>
      </c>
      <c r="I130" s="78" t="s">
        <v>259</v>
      </c>
      <c r="J130" s="78" t="s">
        <v>38</v>
      </c>
      <c r="K130" s="78" t="s">
        <v>39</v>
      </c>
      <c r="L130" s="78" t="s">
        <v>152</v>
      </c>
      <c r="M130" s="78" t="s">
        <v>40</v>
      </c>
      <c r="N130" s="80">
        <v>105612338</v>
      </c>
      <c r="O130" s="80"/>
      <c r="P130" s="80"/>
      <c r="Q130" s="80">
        <v>0</v>
      </c>
      <c r="R130" s="80">
        <v>0</v>
      </c>
      <c r="S130" s="80">
        <v>105612338</v>
      </c>
      <c r="T130" s="80">
        <v>85484007</v>
      </c>
      <c r="U130" s="80">
        <v>20128331</v>
      </c>
      <c r="V130" s="80">
        <v>85484007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t="str">
        <f t="shared" si="5"/>
        <v>A-02-02-02-008</v>
      </c>
      <c r="AC130" t="str">
        <f t="shared" si="6"/>
        <v>A</v>
      </c>
    </row>
    <row r="131" spans="1:29" ht="21" hidden="1" customHeight="1">
      <c r="A131" s="78" t="s">
        <v>708</v>
      </c>
      <c r="B131" s="79">
        <v>2024</v>
      </c>
      <c r="C131" s="78" t="s">
        <v>3</v>
      </c>
      <c r="D131" s="78" t="s">
        <v>154</v>
      </c>
      <c r="E131" s="78" t="s">
        <v>151</v>
      </c>
      <c r="F131" s="78" t="s">
        <v>282</v>
      </c>
      <c r="G131" s="78" t="s">
        <v>283</v>
      </c>
      <c r="H131" s="78" t="s">
        <v>344</v>
      </c>
      <c r="I131" s="78" t="s">
        <v>345</v>
      </c>
      <c r="J131" s="78" t="s">
        <v>38</v>
      </c>
      <c r="K131" s="78" t="s">
        <v>39</v>
      </c>
      <c r="L131" s="78" t="s">
        <v>152</v>
      </c>
      <c r="M131" s="78" t="s">
        <v>40</v>
      </c>
      <c r="N131" s="80">
        <v>654262771</v>
      </c>
      <c r="O131" s="80"/>
      <c r="P131" s="80"/>
      <c r="Q131" s="80">
        <v>0</v>
      </c>
      <c r="R131" s="80">
        <v>0</v>
      </c>
      <c r="S131" s="80">
        <v>654262771</v>
      </c>
      <c r="T131" s="80">
        <v>654262771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t="str">
        <f t="shared" si="5"/>
        <v>A-02-02-02-009</v>
      </c>
      <c r="AC131" t="str">
        <f t="shared" si="6"/>
        <v>A</v>
      </c>
    </row>
    <row r="132" spans="1:29" ht="21" hidden="1" customHeight="1">
      <c r="A132" s="78" t="s">
        <v>708</v>
      </c>
      <c r="B132" s="79">
        <v>2024</v>
      </c>
      <c r="C132" s="78" t="s">
        <v>3</v>
      </c>
      <c r="D132" s="78" t="s">
        <v>154</v>
      </c>
      <c r="E132" s="78" t="s">
        <v>151</v>
      </c>
      <c r="F132" s="78" t="s">
        <v>282</v>
      </c>
      <c r="G132" s="78" t="s">
        <v>283</v>
      </c>
      <c r="H132" s="78" t="s">
        <v>280</v>
      </c>
      <c r="I132" s="78" t="s">
        <v>281</v>
      </c>
      <c r="J132" s="78" t="s">
        <v>38</v>
      </c>
      <c r="K132" s="78" t="s">
        <v>39</v>
      </c>
      <c r="L132" s="78" t="s">
        <v>152</v>
      </c>
      <c r="M132" s="78" t="s">
        <v>40</v>
      </c>
      <c r="N132" s="80">
        <v>928391297</v>
      </c>
      <c r="O132" s="80"/>
      <c r="P132" s="80"/>
      <c r="Q132" s="80">
        <v>0</v>
      </c>
      <c r="R132" s="80">
        <v>0</v>
      </c>
      <c r="S132" s="80">
        <v>928391297</v>
      </c>
      <c r="T132" s="80">
        <v>14661000</v>
      </c>
      <c r="U132" s="80">
        <v>913730297</v>
      </c>
      <c r="V132" s="80">
        <v>14635152.66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t="str">
        <f t="shared" si="5"/>
        <v>A-02-02-02-009</v>
      </c>
      <c r="AC132" t="str">
        <f t="shared" si="6"/>
        <v>A</v>
      </c>
    </row>
    <row r="133" spans="1:29" ht="21" hidden="1" customHeight="1">
      <c r="A133" s="78" t="s">
        <v>708</v>
      </c>
      <c r="B133" s="79">
        <v>2024</v>
      </c>
      <c r="C133" s="78" t="s">
        <v>3</v>
      </c>
      <c r="D133" s="78" t="s">
        <v>154</v>
      </c>
      <c r="E133" s="78" t="s">
        <v>151</v>
      </c>
      <c r="F133" s="78" t="s">
        <v>282</v>
      </c>
      <c r="G133" s="78" t="s">
        <v>283</v>
      </c>
      <c r="H133" s="78" t="s">
        <v>346</v>
      </c>
      <c r="I133" s="78" t="s">
        <v>347</v>
      </c>
      <c r="J133" s="78" t="s">
        <v>38</v>
      </c>
      <c r="K133" s="78" t="s">
        <v>39</v>
      </c>
      <c r="L133" s="78" t="s">
        <v>152</v>
      </c>
      <c r="M133" s="78" t="s">
        <v>40</v>
      </c>
      <c r="N133" s="80">
        <v>737477116</v>
      </c>
      <c r="O133" s="80"/>
      <c r="P133" s="80"/>
      <c r="Q133" s="80">
        <v>0</v>
      </c>
      <c r="R133" s="80">
        <v>0</v>
      </c>
      <c r="S133" s="80">
        <v>737477116</v>
      </c>
      <c r="T133" s="80">
        <v>0</v>
      </c>
      <c r="U133" s="80">
        <v>737477116</v>
      </c>
      <c r="V133" s="80"/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t="str">
        <f t="shared" si="5"/>
        <v>A-02-02-02-009</v>
      </c>
      <c r="AC133" t="str">
        <f t="shared" si="6"/>
        <v>A</v>
      </c>
    </row>
    <row r="134" spans="1:29" ht="21" hidden="1" customHeight="1">
      <c r="A134" s="78" t="s">
        <v>708</v>
      </c>
      <c r="B134" s="79">
        <v>2024</v>
      </c>
      <c r="C134" s="78" t="s">
        <v>3</v>
      </c>
      <c r="D134" s="78" t="s">
        <v>154</v>
      </c>
      <c r="E134" s="78" t="s">
        <v>151</v>
      </c>
      <c r="F134" s="78" t="s">
        <v>282</v>
      </c>
      <c r="G134" s="78" t="s">
        <v>283</v>
      </c>
      <c r="H134" s="78" t="s">
        <v>348</v>
      </c>
      <c r="I134" s="78" t="s">
        <v>349</v>
      </c>
      <c r="J134" s="78" t="s">
        <v>38</v>
      </c>
      <c r="K134" s="78" t="s">
        <v>39</v>
      </c>
      <c r="L134" s="78" t="s">
        <v>152</v>
      </c>
      <c r="M134" s="78" t="s">
        <v>40</v>
      </c>
      <c r="N134" s="80">
        <v>1272500000</v>
      </c>
      <c r="O134" s="80"/>
      <c r="P134" s="80"/>
      <c r="Q134" s="80">
        <v>0</v>
      </c>
      <c r="R134" s="80">
        <v>0</v>
      </c>
      <c r="S134" s="80">
        <v>1272500000</v>
      </c>
      <c r="T134" s="80">
        <v>1272500000</v>
      </c>
      <c r="U134" s="80">
        <v>0</v>
      </c>
      <c r="V134" s="80">
        <v>215825483</v>
      </c>
      <c r="W134" s="80">
        <v>215825483</v>
      </c>
      <c r="X134" s="80">
        <v>215825483</v>
      </c>
      <c r="Y134" s="80">
        <v>215825483</v>
      </c>
      <c r="Z134" s="80">
        <v>0</v>
      </c>
      <c r="AA134" s="80">
        <v>0</v>
      </c>
      <c r="AB134" t="str">
        <f t="shared" ref="AB134:AB197" si="7">LEFT(H134,14)</f>
        <v>A-03-04-02-001</v>
      </c>
      <c r="AC134" t="str">
        <f t="shared" ref="AC134:AC197" si="8">LEFT(H134,1)</f>
        <v>A</v>
      </c>
    </row>
    <row r="135" spans="1:29" ht="21" hidden="1" customHeight="1">
      <c r="A135" s="78" t="s">
        <v>708</v>
      </c>
      <c r="B135" s="79">
        <v>2024</v>
      </c>
      <c r="C135" s="78" t="s">
        <v>3</v>
      </c>
      <c r="D135" s="78" t="s">
        <v>154</v>
      </c>
      <c r="E135" s="78" t="s">
        <v>151</v>
      </c>
      <c r="F135" s="78" t="s">
        <v>282</v>
      </c>
      <c r="G135" s="78" t="s">
        <v>283</v>
      </c>
      <c r="H135" s="78" t="s">
        <v>350</v>
      </c>
      <c r="I135" s="78" t="s">
        <v>351</v>
      </c>
      <c r="J135" s="78" t="s">
        <v>38</v>
      </c>
      <c r="K135" s="78" t="s">
        <v>39</v>
      </c>
      <c r="L135" s="78" t="s">
        <v>152</v>
      </c>
      <c r="M135" s="78" t="s">
        <v>40</v>
      </c>
      <c r="N135" s="80">
        <v>60400000</v>
      </c>
      <c r="O135" s="80"/>
      <c r="P135" s="80"/>
      <c r="Q135" s="80">
        <v>0</v>
      </c>
      <c r="R135" s="80">
        <v>0</v>
      </c>
      <c r="S135" s="80">
        <v>60400000</v>
      </c>
      <c r="T135" s="80">
        <v>60400000</v>
      </c>
      <c r="U135" s="80">
        <v>0</v>
      </c>
      <c r="V135" s="80">
        <v>56486850</v>
      </c>
      <c r="W135" s="80">
        <v>8018772</v>
      </c>
      <c r="X135" s="80">
        <v>7920311</v>
      </c>
      <c r="Y135" s="80">
        <v>7920311</v>
      </c>
      <c r="Z135" s="80">
        <v>0</v>
      </c>
      <c r="AA135" s="80">
        <v>0</v>
      </c>
      <c r="AB135" t="str">
        <f t="shared" si="7"/>
        <v>A-03-04-02-002</v>
      </c>
      <c r="AC135" t="str">
        <f t="shared" si="8"/>
        <v>A</v>
      </c>
    </row>
    <row r="136" spans="1:29" ht="21" hidden="1" customHeight="1">
      <c r="A136" s="78" t="s">
        <v>708</v>
      </c>
      <c r="B136" s="79">
        <v>2024</v>
      </c>
      <c r="C136" s="78" t="s">
        <v>3</v>
      </c>
      <c r="D136" s="78" t="s">
        <v>154</v>
      </c>
      <c r="E136" s="78" t="s">
        <v>151</v>
      </c>
      <c r="F136" s="78" t="s">
        <v>282</v>
      </c>
      <c r="G136" s="78" t="s">
        <v>283</v>
      </c>
      <c r="H136" s="78" t="s">
        <v>352</v>
      </c>
      <c r="I136" s="78" t="s">
        <v>353</v>
      </c>
      <c r="J136" s="78" t="s">
        <v>38</v>
      </c>
      <c r="K136" s="78" t="s">
        <v>39</v>
      </c>
      <c r="L136" s="78" t="s">
        <v>152</v>
      </c>
      <c r="M136" s="78" t="s">
        <v>40</v>
      </c>
      <c r="N136" s="80">
        <v>914000000</v>
      </c>
      <c r="O136" s="80"/>
      <c r="P136" s="80"/>
      <c r="Q136" s="80">
        <v>0</v>
      </c>
      <c r="R136" s="80">
        <v>0</v>
      </c>
      <c r="S136" s="80">
        <v>914000000</v>
      </c>
      <c r="T136" s="80">
        <v>914000000</v>
      </c>
      <c r="U136" s="80">
        <v>0</v>
      </c>
      <c r="V136" s="80">
        <v>504888000</v>
      </c>
      <c r="W136" s="80">
        <v>289556000</v>
      </c>
      <c r="X136" s="80">
        <v>289556000</v>
      </c>
      <c r="Y136" s="80">
        <v>289556000</v>
      </c>
      <c r="Z136" s="80">
        <v>0</v>
      </c>
      <c r="AA136" s="80">
        <v>0</v>
      </c>
      <c r="AB136" t="str">
        <f t="shared" si="7"/>
        <v>A-03-04-02-004</v>
      </c>
      <c r="AC136" t="str">
        <f t="shared" si="8"/>
        <v>A</v>
      </c>
    </row>
    <row r="137" spans="1:29" ht="21" hidden="1" customHeight="1">
      <c r="A137" s="78" t="s">
        <v>708</v>
      </c>
      <c r="B137" s="79">
        <v>2024</v>
      </c>
      <c r="C137" s="78" t="s">
        <v>3</v>
      </c>
      <c r="D137" s="78" t="s">
        <v>154</v>
      </c>
      <c r="E137" s="78" t="s">
        <v>151</v>
      </c>
      <c r="F137" s="78" t="s">
        <v>282</v>
      </c>
      <c r="G137" s="78" t="s">
        <v>283</v>
      </c>
      <c r="H137" s="78" t="s">
        <v>354</v>
      </c>
      <c r="I137" s="78" t="s">
        <v>355</v>
      </c>
      <c r="J137" s="78" t="s">
        <v>38</v>
      </c>
      <c r="K137" s="78" t="s">
        <v>39</v>
      </c>
      <c r="L137" s="78" t="s">
        <v>152</v>
      </c>
      <c r="M137" s="78" t="s">
        <v>40</v>
      </c>
      <c r="N137" s="80">
        <v>181500000</v>
      </c>
      <c r="O137" s="80"/>
      <c r="P137" s="80"/>
      <c r="Q137" s="80">
        <v>0</v>
      </c>
      <c r="R137" s="80">
        <v>0</v>
      </c>
      <c r="S137" s="80">
        <v>181500000</v>
      </c>
      <c r="T137" s="80">
        <v>181500000</v>
      </c>
      <c r="U137" s="80">
        <v>0</v>
      </c>
      <c r="V137" s="80">
        <v>48650207</v>
      </c>
      <c r="W137" s="80">
        <v>41323879</v>
      </c>
      <c r="X137" s="80">
        <v>41323879</v>
      </c>
      <c r="Y137" s="80">
        <v>41323879</v>
      </c>
      <c r="Z137" s="80">
        <v>0</v>
      </c>
      <c r="AA137" s="80">
        <v>0</v>
      </c>
      <c r="AB137" t="str">
        <f t="shared" si="7"/>
        <v>A-03-04-02-012</v>
      </c>
      <c r="AC137" t="str">
        <f t="shared" si="8"/>
        <v>A</v>
      </c>
    </row>
    <row r="138" spans="1:29" ht="21" customHeight="1">
      <c r="A138" s="78" t="s">
        <v>708</v>
      </c>
      <c r="B138" s="79">
        <v>2024</v>
      </c>
      <c r="C138" s="78" t="s">
        <v>3</v>
      </c>
      <c r="D138" s="78" t="s">
        <v>154</v>
      </c>
      <c r="E138" s="78" t="s">
        <v>151</v>
      </c>
      <c r="F138" s="78" t="s">
        <v>282</v>
      </c>
      <c r="G138" s="78" t="s">
        <v>283</v>
      </c>
      <c r="H138" s="78" t="s">
        <v>356</v>
      </c>
      <c r="I138" s="78" t="s">
        <v>357</v>
      </c>
      <c r="J138" s="78" t="s">
        <v>38</v>
      </c>
      <c r="K138" s="78" t="s">
        <v>72</v>
      </c>
      <c r="L138" s="78" t="s">
        <v>165</v>
      </c>
      <c r="M138" s="78" t="s">
        <v>40</v>
      </c>
      <c r="N138" s="80">
        <v>107000000</v>
      </c>
      <c r="O138" s="80"/>
      <c r="P138" s="80"/>
      <c r="Q138" s="80">
        <v>0</v>
      </c>
      <c r="R138" s="80">
        <v>0</v>
      </c>
      <c r="S138" s="80">
        <v>107000000</v>
      </c>
      <c r="T138" s="80">
        <v>0</v>
      </c>
      <c r="U138" s="80">
        <v>107000000</v>
      </c>
      <c r="V138" s="80"/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t="str">
        <f t="shared" si="7"/>
        <v>C-0399-1000-9-</v>
      </c>
      <c r="AC138" t="str">
        <f t="shared" si="8"/>
        <v>C</v>
      </c>
    </row>
    <row r="139" spans="1:29" ht="21" customHeight="1">
      <c r="A139" s="78" t="s">
        <v>708</v>
      </c>
      <c r="B139" s="79">
        <v>2024</v>
      </c>
      <c r="C139" s="78" t="s">
        <v>3</v>
      </c>
      <c r="D139" s="78" t="s">
        <v>154</v>
      </c>
      <c r="E139" s="78" t="s">
        <v>151</v>
      </c>
      <c r="F139" s="78" t="s">
        <v>282</v>
      </c>
      <c r="G139" s="78" t="s">
        <v>283</v>
      </c>
      <c r="H139" s="78" t="s">
        <v>186</v>
      </c>
      <c r="I139" s="78" t="s">
        <v>187</v>
      </c>
      <c r="J139" s="78" t="s">
        <v>38</v>
      </c>
      <c r="K139" s="78" t="s">
        <v>72</v>
      </c>
      <c r="L139" s="78" t="s">
        <v>165</v>
      </c>
      <c r="M139" s="78" t="s">
        <v>40</v>
      </c>
      <c r="N139" s="80">
        <v>1388395000</v>
      </c>
      <c r="O139" s="80"/>
      <c r="P139" s="80"/>
      <c r="Q139" s="80">
        <v>0</v>
      </c>
      <c r="R139" s="80">
        <v>0</v>
      </c>
      <c r="S139" s="80">
        <v>1388395000</v>
      </c>
      <c r="T139" s="80">
        <v>471443323</v>
      </c>
      <c r="U139" s="80">
        <v>916951677</v>
      </c>
      <c r="V139" s="80">
        <v>449340007</v>
      </c>
      <c r="W139" s="80">
        <v>17083329</v>
      </c>
      <c r="X139" s="80">
        <v>17083329</v>
      </c>
      <c r="Y139" s="80">
        <v>17083329</v>
      </c>
      <c r="Z139" s="80">
        <v>0</v>
      </c>
      <c r="AA139" s="80">
        <v>0</v>
      </c>
      <c r="AB139" t="str">
        <f t="shared" si="7"/>
        <v>C-0399-1000-9-</v>
      </c>
      <c r="AC139" t="str">
        <f t="shared" si="8"/>
        <v>C</v>
      </c>
    </row>
    <row r="140" spans="1:29" ht="21" hidden="1" customHeight="1">
      <c r="A140" s="78" t="s">
        <v>708</v>
      </c>
      <c r="B140" s="79">
        <v>2024</v>
      </c>
      <c r="C140" s="78" t="s">
        <v>3</v>
      </c>
      <c r="D140" s="78" t="s">
        <v>154</v>
      </c>
      <c r="E140" s="78" t="s">
        <v>151</v>
      </c>
      <c r="F140" s="78" t="s">
        <v>358</v>
      </c>
      <c r="G140" s="78" t="s">
        <v>359</v>
      </c>
      <c r="H140" s="78" t="s">
        <v>157</v>
      </c>
      <c r="I140" s="78" t="s">
        <v>158</v>
      </c>
      <c r="J140" s="78" t="s">
        <v>38</v>
      </c>
      <c r="K140" s="78" t="s">
        <v>39</v>
      </c>
      <c r="L140" s="78" t="s">
        <v>152</v>
      </c>
      <c r="M140" s="78" t="s">
        <v>40</v>
      </c>
      <c r="N140" s="80">
        <v>1600967409</v>
      </c>
      <c r="O140" s="80">
        <v>0</v>
      </c>
      <c r="P140" s="80">
        <v>107846121</v>
      </c>
      <c r="Q140" s="80">
        <v>0</v>
      </c>
      <c r="R140" s="80">
        <v>0</v>
      </c>
      <c r="S140" s="80">
        <v>1493121288</v>
      </c>
      <c r="T140" s="80">
        <v>1493121288</v>
      </c>
      <c r="U140" s="80">
        <v>0</v>
      </c>
      <c r="V140" s="80">
        <v>1493121288</v>
      </c>
      <c r="W140" s="80">
        <v>170859290</v>
      </c>
      <c r="X140" s="80">
        <v>163299290</v>
      </c>
      <c r="Y140" s="80">
        <v>161485292</v>
      </c>
      <c r="Z140" s="80">
        <v>0</v>
      </c>
      <c r="AA140" s="80">
        <v>0</v>
      </c>
      <c r="AB140" t="str">
        <f t="shared" si="7"/>
        <v>A-02-02-02-008</v>
      </c>
      <c r="AC140" t="str">
        <f t="shared" si="8"/>
        <v>A</v>
      </c>
    </row>
    <row r="141" spans="1:29" ht="21" hidden="1" customHeight="1">
      <c r="A141" s="78" t="s">
        <v>708</v>
      </c>
      <c r="B141" s="79">
        <v>2024</v>
      </c>
      <c r="C141" s="78" t="s">
        <v>3</v>
      </c>
      <c r="D141" s="78" t="s">
        <v>154</v>
      </c>
      <c r="E141" s="78" t="s">
        <v>151</v>
      </c>
      <c r="F141" s="78" t="s">
        <v>358</v>
      </c>
      <c r="G141" s="78" t="s">
        <v>359</v>
      </c>
      <c r="H141" s="78" t="s">
        <v>159</v>
      </c>
      <c r="I141" s="78" t="s">
        <v>160</v>
      </c>
      <c r="J141" s="78" t="s">
        <v>38</v>
      </c>
      <c r="K141" s="78" t="s">
        <v>39</v>
      </c>
      <c r="L141" s="78" t="s">
        <v>152</v>
      </c>
      <c r="M141" s="78" t="s">
        <v>40</v>
      </c>
      <c r="N141" s="80">
        <v>159696600</v>
      </c>
      <c r="O141" s="80">
        <v>68800000</v>
      </c>
      <c r="P141" s="80">
        <v>0</v>
      </c>
      <c r="Q141" s="80">
        <v>0</v>
      </c>
      <c r="R141" s="80">
        <v>0</v>
      </c>
      <c r="S141" s="80">
        <v>228496600</v>
      </c>
      <c r="T141" s="80">
        <v>227018600</v>
      </c>
      <c r="U141" s="80">
        <v>1478000</v>
      </c>
      <c r="V141" s="80">
        <v>199002600</v>
      </c>
      <c r="W141" s="80">
        <v>27204000</v>
      </c>
      <c r="X141" s="80">
        <v>27204000</v>
      </c>
      <c r="Y141" s="80">
        <v>27204000</v>
      </c>
      <c r="Z141" s="80">
        <v>0</v>
      </c>
      <c r="AA141" s="80">
        <v>0</v>
      </c>
      <c r="AB141" t="str">
        <f t="shared" si="7"/>
        <v>A-02-02-02-008</v>
      </c>
      <c r="AC141" t="str">
        <f t="shared" si="8"/>
        <v>A</v>
      </c>
    </row>
    <row r="142" spans="1:29" ht="21" customHeight="1">
      <c r="A142" s="78" t="s">
        <v>708</v>
      </c>
      <c r="B142" s="79">
        <v>2024</v>
      </c>
      <c r="C142" s="78" t="s">
        <v>3</v>
      </c>
      <c r="D142" s="78" t="s">
        <v>154</v>
      </c>
      <c r="E142" s="78" t="s">
        <v>151</v>
      </c>
      <c r="F142" s="78" t="s">
        <v>358</v>
      </c>
      <c r="G142" s="78" t="s">
        <v>359</v>
      </c>
      <c r="H142" s="78" t="s">
        <v>168</v>
      </c>
      <c r="I142" s="78" t="s">
        <v>169</v>
      </c>
      <c r="J142" s="78" t="s">
        <v>38</v>
      </c>
      <c r="K142" s="78" t="s">
        <v>72</v>
      </c>
      <c r="L142" s="78" t="s">
        <v>165</v>
      </c>
      <c r="M142" s="78" t="s">
        <v>40</v>
      </c>
      <c r="N142" s="80">
        <v>559347200</v>
      </c>
      <c r="O142" s="80"/>
      <c r="P142" s="80"/>
      <c r="Q142" s="80">
        <v>0</v>
      </c>
      <c r="R142" s="80">
        <v>0</v>
      </c>
      <c r="S142" s="80">
        <v>559347200</v>
      </c>
      <c r="T142" s="80">
        <v>554426373</v>
      </c>
      <c r="U142" s="80">
        <v>4920827</v>
      </c>
      <c r="V142" s="80">
        <v>550158382</v>
      </c>
      <c r="W142" s="80">
        <v>45285733</v>
      </c>
      <c r="X142" s="80">
        <v>45285733</v>
      </c>
      <c r="Y142" s="80">
        <v>45285733</v>
      </c>
      <c r="Z142" s="80">
        <v>0</v>
      </c>
      <c r="AA142" s="80">
        <v>0</v>
      </c>
      <c r="AB142" t="str">
        <f t="shared" si="7"/>
        <v>C-0399-1000-9-</v>
      </c>
      <c r="AC142" t="str">
        <f t="shared" si="8"/>
        <v>C</v>
      </c>
    </row>
    <row r="143" spans="1:29" ht="21" customHeight="1">
      <c r="A143" s="78" t="s">
        <v>708</v>
      </c>
      <c r="B143" s="79">
        <v>2024</v>
      </c>
      <c r="C143" s="78" t="s">
        <v>3</v>
      </c>
      <c r="D143" s="78" t="s">
        <v>154</v>
      </c>
      <c r="E143" s="78" t="s">
        <v>151</v>
      </c>
      <c r="F143" s="78" t="s">
        <v>360</v>
      </c>
      <c r="G143" s="78" t="s">
        <v>361</v>
      </c>
      <c r="H143" s="78" t="s">
        <v>362</v>
      </c>
      <c r="I143" s="78" t="s">
        <v>363</v>
      </c>
      <c r="J143" s="78" t="s">
        <v>38</v>
      </c>
      <c r="K143" s="78" t="s">
        <v>72</v>
      </c>
      <c r="L143" s="78" t="s">
        <v>165</v>
      </c>
      <c r="M143" s="78" t="s">
        <v>40</v>
      </c>
      <c r="N143" s="80">
        <v>1024853333</v>
      </c>
      <c r="O143" s="80"/>
      <c r="P143" s="80"/>
      <c r="Q143" s="80">
        <v>0</v>
      </c>
      <c r="R143" s="80">
        <v>0</v>
      </c>
      <c r="S143" s="80">
        <v>1024853333</v>
      </c>
      <c r="T143" s="80">
        <v>646086667</v>
      </c>
      <c r="U143" s="80">
        <v>378766666</v>
      </c>
      <c r="V143" s="80">
        <v>646086667</v>
      </c>
      <c r="W143" s="80">
        <v>69850008</v>
      </c>
      <c r="X143" s="80">
        <v>69850008</v>
      </c>
      <c r="Y143" s="80">
        <v>69850008</v>
      </c>
      <c r="Z143" s="80">
        <v>0</v>
      </c>
      <c r="AA143" s="80">
        <v>0</v>
      </c>
      <c r="AB143" t="str">
        <f t="shared" si="7"/>
        <v>C-0301-1000-34</v>
      </c>
      <c r="AC143" t="str">
        <f t="shared" si="8"/>
        <v>C</v>
      </c>
    </row>
    <row r="144" spans="1:29" ht="21" customHeight="1">
      <c r="A144" s="78" t="s">
        <v>708</v>
      </c>
      <c r="B144" s="79">
        <v>2024</v>
      </c>
      <c r="C144" s="78" t="s">
        <v>3</v>
      </c>
      <c r="D144" s="78" t="s">
        <v>154</v>
      </c>
      <c r="E144" s="78" t="s">
        <v>151</v>
      </c>
      <c r="F144" s="78" t="s">
        <v>360</v>
      </c>
      <c r="G144" s="78" t="s">
        <v>361</v>
      </c>
      <c r="H144" s="78" t="s">
        <v>364</v>
      </c>
      <c r="I144" s="78" t="s">
        <v>365</v>
      </c>
      <c r="J144" s="78" t="s">
        <v>38</v>
      </c>
      <c r="K144" s="78" t="s">
        <v>72</v>
      </c>
      <c r="L144" s="78" t="s">
        <v>165</v>
      </c>
      <c r="M144" s="78" t="s">
        <v>40</v>
      </c>
      <c r="N144" s="80">
        <v>722036749</v>
      </c>
      <c r="O144" s="80"/>
      <c r="P144" s="80"/>
      <c r="Q144" s="80">
        <v>0</v>
      </c>
      <c r="R144" s="80">
        <v>0</v>
      </c>
      <c r="S144" s="80">
        <v>722036749</v>
      </c>
      <c r="T144" s="80">
        <v>700136522</v>
      </c>
      <c r="U144" s="80">
        <v>21900227</v>
      </c>
      <c r="V144" s="80">
        <v>490575405</v>
      </c>
      <c r="W144" s="80">
        <v>51125490</v>
      </c>
      <c r="X144" s="80">
        <v>49420963</v>
      </c>
      <c r="Y144" s="80">
        <v>49420963</v>
      </c>
      <c r="Z144" s="80">
        <v>0</v>
      </c>
      <c r="AA144" s="80">
        <v>0</v>
      </c>
      <c r="AB144" t="str">
        <f t="shared" si="7"/>
        <v>C-0301-1000-34</v>
      </c>
      <c r="AC144" t="str">
        <f t="shared" si="8"/>
        <v>C</v>
      </c>
    </row>
    <row r="145" spans="1:29" ht="21" customHeight="1">
      <c r="A145" s="78" t="s">
        <v>708</v>
      </c>
      <c r="B145" s="79">
        <v>2024</v>
      </c>
      <c r="C145" s="78" t="s">
        <v>3</v>
      </c>
      <c r="D145" s="78" t="s">
        <v>154</v>
      </c>
      <c r="E145" s="78" t="s">
        <v>151</v>
      </c>
      <c r="F145" s="78" t="s">
        <v>366</v>
      </c>
      <c r="G145" s="78" t="s">
        <v>367</v>
      </c>
      <c r="H145" s="78" t="s">
        <v>362</v>
      </c>
      <c r="I145" s="78" t="s">
        <v>363</v>
      </c>
      <c r="J145" s="78" t="s">
        <v>38</v>
      </c>
      <c r="K145" s="78" t="s">
        <v>72</v>
      </c>
      <c r="L145" s="78" t="s">
        <v>165</v>
      </c>
      <c r="M145" s="78" t="s">
        <v>40</v>
      </c>
      <c r="N145" s="80">
        <v>104737500</v>
      </c>
      <c r="O145" s="80"/>
      <c r="P145" s="80"/>
      <c r="Q145" s="80">
        <v>0</v>
      </c>
      <c r="R145" s="80">
        <v>0</v>
      </c>
      <c r="S145" s="80">
        <v>104737500</v>
      </c>
      <c r="T145" s="80">
        <v>104737500</v>
      </c>
      <c r="U145" s="80">
        <v>0</v>
      </c>
      <c r="V145" s="80">
        <v>0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t="str">
        <f t="shared" si="7"/>
        <v>C-0301-1000-34</v>
      </c>
      <c r="AC145" t="str">
        <f t="shared" si="8"/>
        <v>C</v>
      </c>
    </row>
    <row r="146" spans="1:29" ht="21" customHeight="1">
      <c r="A146" s="78" t="s">
        <v>708</v>
      </c>
      <c r="B146" s="79">
        <v>2024</v>
      </c>
      <c r="C146" s="78" t="s">
        <v>3</v>
      </c>
      <c r="D146" s="78" t="s">
        <v>154</v>
      </c>
      <c r="E146" s="78" t="s">
        <v>151</v>
      </c>
      <c r="F146" s="78" t="s">
        <v>366</v>
      </c>
      <c r="G146" s="78" t="s">
        <v>367</v>
      </c>
      <c r="H146" s="78" t="s">
        <v>368</v>
      </c>
      <c r="I146" s="78" t="s">
        <v>369</v>
      </c>
      <c r="J146" s="78" t="s">
        <v>38</v>
      </c>
      <c r="K146" s="78" t="s">
        <v>72</v>
      </c>
      <c r="L146" s="78" t="s">
        <v>165</v>
      </c>
      <c r="M146" s="78" t="s">
        <v>40</v>
      </c>
      <c r="N146" s="80">
        <v>235613000</v>
      </c>
      <c r="O146" s="80"/>
      <c r="P146" s="80"/>
      <c r="Q146" s="80">
        <v>0</v>
      </c>
      <c r="R146" s="80">
        <v>0</v>
      </c>
      <c r="S146" s="80">
        <v>235613000</v>
      </c>
      <c r="T146" s="80">
        <v>235613000</v>
      </c>
      <c r="U146" s="80">
        <v>0</v>
      </c>
      <c r="V146" s="80">
        <v>234619000</v>
      </c>
      <c r="W146" s="80">
        <v>28301000</v>
      </c>
      <c r="X146" s="80">
        <v>28301000</v>
      </c>
      <c r="Y146" s="80">
        <v>28301000</v>
      </c>
      <c r="Z146" s="80">
        <v>0</v>
      </c>
      <c r="AA146" s="80">
        <v>0</v>
      </c>
      <c r="AB146" t="str">
        <f t="shared" si="7"/>
        <v>C-0301-1000-34</v>
      </c>
      <c r="AC146" t="str">
        <f t="shared" si="8"/>
        <v>C</v>
      </c>
    </row>
    <row r="147" spans="1:29" ht="21" customHeight="1">
      <c r="A147" s="78" t="s">
        <v>708</v>
      </c>
      <c r="B147" s="79">
        <v>2024</v>
      </c>
      <c r="C147" s="78" t="s">
        <v>3</v>
      </c>
      <c r="D147" s="78" t="s">
        <v>154</v>
      </c>
      <c r="E147" s="78" t="s">
        <v>151</v>
      </c>
      <c r="F147" s="78" t="s">
        <v>366</v>
      </c>
      <c r="G147" s="78" t="s">
        <v>367</v>
      </c>
      <c r="H147" s="78" t="s">
        <v>370</v>
      </c>
      <c r="I147" s="78" t="s">
        <v>371</v>
      </c>
      <c r="J147" s="78" t="s">
        <v>38</v>
      </c>
      <c r="K147" s="78" t="s">
        <v>72</v>
      </c>
      <c r="L147" s="78" t="s">
        <v>165</v>
      </c>
      <c r="M147" s="78" t="s">
        <v>40</v>
      </c>
      <c r="N147" s="80">
        <v>1642003333</v>
      </c>
      <c r="O147" s="80"/>
      <c r="P147" s="80"/>
      <c r="Q147" s="80">
        <v>0</v>
      </c>
      <c r="R147" s="80">
        <v>0</v>
      </c>
      <c r="S147" s="80">
        <v>1642003333</v>
      </c>
      <c r="T147" s="80">
        <v>1641537138</v>
      </c>
      <c r="U147" s="80">
        <v>466195</v>
      </c>
      <c r="V147" s="80">
        <v>961295780</v>
      </c>
      <c r="W147" s="80">
        <v>103127080</v>
      </c>
      <c r="X147" s="80">
        <v>103127080</v>
      </c>
      <c r="Y147" s="80">
        <v>102502080</v>
      </c>
      <c r="Z147" s="80">
        <v>0</v>
      </c>
      <c r="AA147" s="80">
        <v>0</v>
      </c>
      <c r="AB147" t="str">
        <f t="shared" si="7"/>
        <v>C-0301-1000-34</v>
      </c>
      <c r="AC147" t="str">
        <f t="shared" si="8"/>
        <v>C</v>
      </c>
    </row>
    <row r="148" spans="1:29" ht="21" customHeight="1">
      <c r="A148" s="78" t="s">
        <v>708</v>
      </c>
      <c r="B148" s="79">
        <v>2024</v>
      </c>
      <c r="C148" s="78" t="s">
        <v>3</v>
      </c>
      <c r="D148" s="78" t="s">
        <v>154</v>
      </c>
      <c r="E148" s="78" t="s">
        <v>151</v>
      </c>
      <c r="F148" s="78" t="s">
        <v>366</v>
      </c>
      <c r="G148" s="78" t="s">
        <v>367</v>
      </c>
      <c r="H148" s="78" t="s">
        <v>364</v>
      </c>
      <c r="I148" s="78" t="s">
        <v>365</v>
      </c>
      <c r="J148" s="78" t="s">
        <v>38</v>
      </c>
      <c r="K148" s="78" t="s">
        <v>72</v>
      </c>
      <c r="L148" s="78" t="s">
        <v>165</v>
      </c>
      <c r="M148" s="78" t="s">
        <v>40</v>
      </c>
      <c r="N148" s="80">
        <v>541418500</v>
      </c>
      <c r="O148" s="80"/>
      <c r="P148" s="80"/>
      <c r="Q148" s="80">
        <v>0</v>
      </c>
      <c r="R148" s="80">
        <v>0</v>
      </c>
      <c r="S148" s="80">
        <v>541418500</v>
      </c>
      <c r="T148" s="80">
        <v>541418500</v>
      </c>
      <c r="U148" s="80">
        <v>0</v>
      </c>
      <c r="V148" s="80">
        <v>430380824</v>
      </c>
      <c r="W148" s="80">
        <v>47026833</v>
      </c>
      <c r="X148" s="80">
        <v>47026833</v>
      </c>
      <c r="Y148" s="80">
        <v>47026833</v>
      </c>
      <c r="Z148" s="80">
        <v>0</v>
      </c>
      <c r="AA148" s="80">
        <v>0</v>
      </c>
      <c r="AB148" t="str">
        <f t="shared" si="7"/>
        <v>C-0301-1000-34</v>
      </c>
      <c r="AC148" t="str">
        <f t="shared" si="8"/>
        <v>C</v>
      </c>
    </row>
    <row r="149" spans="1:29" ht="21" customHeight="1">
      <c r="A149" s="78" t="s">
        <v>708</v>
      </c>
      <c r="B149" s="79">
        <v>2024</v>
      </c>
      <c r="C149" s="78" t="s">
        <v>3</v>
      </c>
      <c r="D149" s="78" t="s">
        <v>154</v>
      </c>
      <c r="E149" s="78" t="s">
        <v>151</v>
      </c>
      <c r="F149" s="78" t="s">
        <v>366</v>
      </c>
      <c r="G149" s="78" t="s">
        <v>367</v>
      </c>
      <c r="H149" s="78" t="s">
        <v>372</v>
      </c>
      <c r="I149" s="78" t="s">
        <v>373</v>
      </c>
      <c r="J149" s="78" t="s">
        <v>38</v>
      </c>
      <c r="K149" s="78" t="s">
        <v>72</v>
      </c>
      <c r="L149" s="78" t="s">
        <v>165</v>
      </c>
      <c r="M149" s="78" t="s">
        <v>40</v>
      </c>
      <c r="N149" s="80">
        <v>543776667</v>
      </c>
      <c r="O149" s="80"/>
      <c r="P149" s="80"/>
      <c r="Q149" s="80">
        <v>0</v>
      </c>
      <c r="R149" s="80">
        <v>0</v>
      </c>
      <c r="S149" s="80">
        <v>543776667</v>
      </c>
      <c r="T149" s="80">
        <v>543776667</v>
      </c>
      <c r="U149" s="80">
        <v>0</v>
      </c>
      <c r="V149" s="80">
        <v>340993322</v>
      </c>
      <c r="W149" s="80">
        <v>29026667</v>
      </c>
      <c r="X149" s="80">
        <v>29026667</v>
      </c>
      <c r="Y149" s="80">
        <v>29026667</v>
      </c>
      <c r="Z149" s="80">
        <v>0</v>
      </c>
      <c r="AA149" s="80">
        <v>0</v>
      </c>
      <c r="AB149" t="str">
        <f t="shared" si="7"/>
        <v>C-0301-1000-34</v>
      </c>
      <c r="AC149" t="str">
        <f t="shared" si="8"/>
        <v>C</v>
      </c>
    </row>
    <row r="150" spans="1:29" ht="21" customHeight="1">
      <c r="A150" s="78" t="s">
        <v>708</v>
      </c>
      <c r="B150" s="79">
        <v>2024</v>
      </c>
      <c r="C150" s="78" t="s">
        <v>3</v>
      </c>
      <c r="D150" s="78" t="s">
        <v>154</v>
      </c>
      <c r="E150" s="78" t="s">
        <v>151</v>
      </c>
      <c r="F150" s="78" t="s">
        <v>374</v>
      </c>
      <c r="G150" s="78" t="s">
        <v>375</v>
      </c>
      <c r="H150" s="78" t="s">
        <v>362</v>
      </c>
      <c r="I150" s="78" t="s">
        <v>363</v>
      </c>
      <c r="J150" s="78" t="s">
        <v>38</v>
      </c>
      <c r="K150" s="78" t="s">
        <v>72</v>
      </c>
      <c r="L150" s="78" t="s">
        <v>165</v>
      </c>
      <c r="M150" s="78" t="s">
        <v>40</v>
      </c>
      <c r="N150" s="80">
        <v>2858700000</v>
      </c>
      <c r="O150" s="80"/>
      <c r="P150" s="80"/>
      <c r="Q150" s="80">
        <v>0</v>
      </c>
      <c r="R150" s="80">
        <v>0</v>
      </c>
      <c r="S150" s="80">
        <v>2858700000</v>
      </c>
      <c r="T150" s="80">
        <v>2858700000</v>
      </c>
      <c r="U150" s="80">
        <v>0</v>
      </c>
      <c r="V150" s="80">
        <v>2823080000</v>
      </c>
      <c r="W150" s="80">
        <v>332299985</v>
      </c>
      <c r="X150" s="80">
        <v>332299985</v>
      </c>
      <c r="Y150" s="80">
        <v>322033318</v>
      </c>
      <c r="Z150" s="80">
        <v>0</v>
      </c>
      <c r="AA150" s="80">
        <v>0</v>
      </c>
      <c r="AB150" t="str">
        <f t="shared" si="7"/>
        <v>C-0301-1000-34</v>
      </c>
      <c r="AC150" t="str">
        <f t="shared" si="8"/>
        <v>C</v>
      </c>
    </row>
    <row r="151" spans="1:29" ht="21" customHeight="1">
      <c r="A151" s="78" t="s">
        <v>708</v>
      </c>
      <c r="B151" s="79">
        <v>2024</v>
      </c>
      <c r="C151" s="78" t="s">
        <v>3</v>
      </c>
      <c r="D151" s="78" t="s">
        <v>154</v>
      </c>
      <c r="E151" s="78" t="s">
        <v>151</v>
      </c>
      <c r="F151" s="78" t="s">
        <v>374</v>
      </c>
      <c r="G151" s="78" t="s">
        <v>375</v>
      </c>
      <c r="H151" s="78" t="s">
        <v>368</v>
      </c>
      <c r="I151" s="78" t="s">
        <v>369</v>
      </c>
      <c r="J151" s="78" t="s">
        <v>38</v>
      </c>
      <c r="K151" s="78" t="s">
        <v>72</v>
      </c>
      <c r="L151" s="78" t="s">
        <v>165</v>
      </c>
      <c r="M151" s="78" t="s">
        <v>40</v>
      </c>
      <c r="N151" s="80">
        <v>442800000</v>
      </c>
      <c r="O151" s="80"/>
      <c r="P151" s="80"/>
      <c r="Q151" s="80">
        <v>0</v>
      </c>
      <c r="R151" s="80">
        <v>0</v>
      </c>
      <c r="S151" s="80">
        <v>442800000</v>
      </c>
      <c r="T151" s="80">
        <v>442800000</v>
      </c>
      <c r="U151" s="80">
        <v>0</v>
      </c>
      <c r="V151" s="80">
        <v>442800000</v>
      </c>
      <c r="W151" s="80">
        <v>60000000</v>
      </c>
      <c r="X151" s="80">
        <v>60000000</v>
      </c>
      <c r="Y151" s="80">
        <v>60000000</v>
      </c>
      <c r="Z151" s="80">
        <v>0</v>
      </c>
      <c r="AA151" s="80">
        <v>0</v>
      </c>
      <c r="AB151" t="str">
        <f t="shared" si="7"/>
        <v>C-0301-1000-34</v>
      </c>
      <c r="AC151" t="str">
        <f t="shared" si="8"/>
        <v>C</v>
      </c>
    </row>
    <row r="152" spans="1:29" ht="21" customHeight="1">
      <c r="A152" s="78" t="s">
        <v>708</v>
      </c>
      <c r="B152" s="79">
        <v>2024</v>
      </c>
      <c r="C152" s="78" t="s">
        <v>3</v>
      </c>
      <c r="D152" s="78" t="s">
        <v>154</v>
      </c>
      <c r="E152" s="78" t="s">
        <v>151</v>
      </c>
      <c r="F152" s="78" t="s">
        <v>374</v>
      </c>
      <c r="G152" s="78" t="s">
        <v>375</v>
      </c>
      <c r="H152" s="78" t="s">
        <v>370</v>
      </c>
      <c r="I152" s="78" t="s">
        <v>371</v>
      </c>
      <c r="J152" s="78" t="s">
        <v>38</v>
      </c>
      <c r="K152" s="78" t="s">
        <v>72</v>
      </c>
      <c r="L152" s="78" t="s">
        <v>165</v>
      </c>
      <c r="M152" s="78" t="s">
        <v>40</v>
      </c>
      <c r="N152" s="80">
        <v>1928484918</v>
      </c>
      <c r="O152" s="80"/>
      <c r="P152" s="80"/>
      <c r="Q152" s="80">
        <v>0</v>
      </c>
      <c r="R152" s="80">
        <v>0</v>
      </c>
      <c r="S152" s="80">
        <v>1928484918</v>
      </c>
      <c r="T152" s="80">
        <v>1923742718</v>
      </c>
      <c r="U152" s="80">
        <v>4742200</v>
      </c>
      <c r="V152" s="80">
        <v>1140990499</v>
      </c>
      <c r="W152" s="80">
        <v>163193024</v>
      </c>
      <c r="X152" s="80">
        <v>151243362</v>
      </c>
      <c r="Y152" s="80">
        <v>147948623</v>
      </c>
      <c r="Z152" s="80">
        <v>0</v>
      </c>
      <c r="AA152" s="80">
        <v>0</v>
      </c>
      <c r="AB152" t="str">
        <f t="shared" si="7"/>
        <v>C-0301-1000-34</v>
      </c>
      <c r="AC152" t="str">
        <f t="shared" si="8"/>
        <v>C</v>
      </c>
    </row>
    <row r="153" spans="1:29" ht="21" customHeight="1">
      <c r="A153" s="78" t="s">
        <v>708</v>
      </c>
      <c r="B153" s="79">
        <v>2024</v>
      </c>
      <c r="C153" s="78" t="s">
        <v>3</v>
      </c>
      <c r="D153" s="78" t="s">
        <v>154</v>
      </c>
      <c r="E153" s="78" t="s">
        <v>151</v>
      </c>
      <c r="F153" s="78" t="s">
        <v>374</v>
      </c>
      <c r="G153" s="78" t="s">
        <v>375</v>
      </c>
      <c r="H153" s="78" t="s">
        <v>372</v>
      </c>
      <c r="I153" s="78" t="s">
        <v>373</v>
      </c>
      <c r="J153" s="78" t="s">
        <v>38</v>
      </c>
      <c r="K153" s="78" t="s">
        <v>72</v>
      </c>
      <c r="L153" s="78" t="s">
        <v>165</v>
      </c>
      <c r="M153" s="78" t="s">
        <v>40</v>
      </c>
      <c r="N153" s="80">
        <v>231000000</v>
      </c>
      <c r="O153" s="80"/>
      <c r="P153" s="80"/>
      <c r="Q153" s="80">
        <v>0</v>
      </c>
      <c r="R153" s="80">
        <v>0</v>
      </c>
      <c r="S153" s="80">
        <v>231000000</v>
      </c>
      <c r="T153" s="80">
        <v>231000000</v>
      </c>
      <c r="U153" s="80">
        <v>0</v>
      </c>
      <c r="V153" s="80">
        <v>231000000</v>
      </c>
      <c r="W153" s="80">
        <v>27500000</v>
      </c>
      <c r="X153" s="80">
        <v>27500000</v>
      </c>
      <c r="Y153" s="80">
        <v>16133333</v>
      </c>
      <c r="Z153" s="80">
        <v>0</v>
      </c>
      <c r="AA153" s="80">
        <v>0</v>
      </c>
      <c r="AB153" t="str">
        <f t="shared" si="7"/>
        <v>C-0301-1000-34</v>
      </c>
      <c r="AC153" t="str">
        <f t="shared" si="8"/>
        <v>C</v>
      </c>
    </row>
    <row r="154" spans="1:29" ht="21" customHeight="1">
      <c r="A154" s="78" t="s">
        <v>708</v>
      </c>
      <c r="B154" s="79">
        <v>2024</v>
      </c>
      <c r="C154" s="78" t="s">
        <v>3</v>
      </c>
      <c r="D154" s="78" t="s">
        <v>154</v>
      </c>
      <c r="E154" s="78" t="s">
        <v>151</v>
      </c>
      <c r="F154" s="78" t="s">
        <v>376</v>
      </c>
      <c r="G154" s="78" t="s">
        <v>377</v>
      </c>
      <c r="H154" s="78" t="s">
        <v>362</v>
      </c>
      <c r="I154" s="78" t="s">
        <v>363</v>
      </c>
      <c r="J154" s="78" t="s">
        <v>38</v>
      </c>
      <c r="K154" s="78" t="s">
        <v>72</v>
      </c>
      <c r="L154" s="78" t="s">
        <v>165</v>
      </c>
      <c r="M154" s="78" t="s">
        <v>40</v>
      </c>
      <c r="N154" s="80">
        <v>1893200000</v>
      </c>
      <c r="O154" s="80">
        <v>1433900000</v>
      </c>
      <c r="P154" s="80">
        <v>0</v>
      </c>
      <c r="Q154" s="80">
        <v>0</v>
      </c>
      <c r="R154" s="80">
        <v>0</v>
      </c>
      <c r="S154" s="80">
        <v>3327100000</v>
      </c>
      <c r="T154" s="80">
        <v>1669000000</v>
      </c>
      <c r="U154" s="80">
        <v>1658100000</v>
      </c>
      <c r="V154" s="80">
        <v>1510600000</v>
      </c>
      <c r="W154" s="80">
        <v>138999995</v>
      </c>
      <c r="X154" s="80">
        <v>138999995</v>
      </c>
      <c r="Y154" s="80">
        <v>138999995</v>
      </c>
      <c r="Z154" s="80">
        <v>0</v>
      </c>
      <c r="AA154" s="80">
        <v>0</v>
      </c>
      <c r="AB154" t="str">
        <f t="shared" si="7"/>
        <v>C-0301-1000-34</v>
      </c>
      <c r="AC154" t="str">
        <f t="shared" si="8"/>
        <v>C</v>
      </c>
    </row>
    <row r="155" spans="1:29" ht="21" customHeight="1">
      <c r="A155" s="78" t="s">
        <v>708</v>
      </c>
      <c r="B155" s="79">
        <v>2024</v>
      </c>
      <c r="C155" s="78" t="s">
        <v>3</v>
      </c>
      <c r="D155" s="78" t="s">
        <v>154</v>
      </c>
      <c r="E155" s="78" t="s">
        <v>151</v>
      </c>
      <c r="F155" s="78" t="s">
        <v>376</v>
      </c>
      <c r="G155" s="78" t="s">
        <v>377</v>
      </c>
      <c r="H155" s="78" t="s">
        <v>370</v>
      </c>
      <c r="I155" s="78" t="s">
        <v>371</v>
      </c>
      <c r="J155" s="78" t="s">
        <v>38</v>
      </c>
      <c r="K155" s="78" t="s">
        <v>72</v>
      </c>
      <c r="L155" s="78" t="s">
        <v>165</v>
      </c>
      <c r="M155" s="78" t="s">
        <v>40</v>
      </c>
      <c r="N155" s="80">
        <v>7052376000</v>
      </c>
      <c r="O155" s="80">
        <v>0</v>
      </c>
      <c r="P155" s="80">
        <v>1433900000</v>
      </c>
      <c r="Q155" s="80">
        <v>0</v>
      </c>
      <c r="R155" s="80">
        <v>0</v>
      </c>
      <c r="S155" s="80">
        <v>5618476000</v>
      </c>
      <c r="T155" s="80">
        <v>716436561</v>
      </c>
      <c r="U155" s="80">
        <v>4902039439</v>
      </c>
      <c r="V155" s="80">
        <v>234553665</v>
      </c>
      <c r="W155" s="80">
        <v>30823445</v>
      </c>
      <c r="X155" s="80">
        <v>25338918</v>
      </c>
      <c r="Y155" s="80">
        <v>23024391</v>
      </c>
      <c r="Z155" s="80">
        <v>0</v>
      </c>
      <c r="AA155" s="80">
        <v>0</v>
      </c>
      <c r="AB155" t="str">
        <f t="shared" si="7"/>
        <v>C-0301-1000-34</v>
      </c>
      <c r="AC155" t="str">
        <f t="shared" si="8"/>
        <v>C</v>
      </c>
    </row>
    <row r="156" spans="1:29" ht="21" customHeight="1">
      <c r="A156" s="78" t="s">
        <v>708</v>
      </c>
      <c r="B156" s="79">
        <v>2024</v>
      </c>
      <c r="C156" s="78" t="s">
        <v>3</v>
      </c>
      <c r="D156" s="78" t="s">
        <v>154</v>
      </c>
      <c r="E156" s="78" t="s">
        <v>151</v>
      </c>
      <c r="F156" s="78" t="s">
        <v>378</v>
      </c>
      <c r="G156" s="78" t="s">
        <v>379</v>
      </c>
      <c r="H156" s="78" t="s">
        <v>380</v>
      </c>
      <c r="I156" s="78" t="s">
        <v>381</v>
      </c>
      <c r="J156" s="78" t="s">
        <v>38</v>
      </c>
      <c r="K156" s="78" t="s">
        <v>39</v>
      </c>
      <c r="L156" s="78" t="s">
        <v>152</v>
      </c>
      <c r="M156" s="78" t="s">
        <v>40</v>
      </c>
      <c r="N156" s="80">
        <v>746490906700</v>
      </c>
      <c r="O156" s="80">
        <v>0</v>
      </c>
      <c r="P156" s="80">
        <v>4100000000</v>
      </c>
      <c r="Q156" s="80">
        <v>0</v>
      </c>
      <c r="R156" s="80">
        <v>0</v>
      </c>
      <c r="S156" s="80">
        <v>742390906700</v>
      </c>
      <c r="T156" s="80">
        <v>585440956389</v>
      </c>
      <c r="U156" s="80">
        <v>156949950311</v>
      </c>
      <c r="V156" s="80">
        <v>585440956389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t="str">
        <f t="shared" si="7"/>
        <v>C-0301-1000-18</v>
      </c>
      <c r="AC156" t="str">
        <f t="shared" si="8"/>
        <v>C</v>
      </c>
    </row>
    <row r="157" spans="1:29" ht="21" customHeight="1">
      <c r="A157" s="78" t="s">
        <v>708</v>
      </c>
      <c r="B157" s="79">
        <v>2024</v>
      </c>
      <c r="C157" s="78" t="s">
        <v>3</v>
      </c>
      <c r="D157" s="78" t="s">
        <v>154</v>
      </c>
      <c r="E157" s="78" t="s">
        <v>151</v>
      </c>
      <c r="F157" s="78" t="s">
        <v>378</v>
      </c>
      <c r="G157" s="78" t="s">
        <v>379</v>
      </c>
      <c r="H157" s="78" t="s">
        <v>382</v>
      </c>
      <c r="I157" s="78" t="s">
        <v>383</v>
      </c>
      <c r="J157" s="78" t="s">
        <v>38</v>
      </c>
      <c r="K157" s="78" t="s">
        <v>72</v>
      </c>
      <c r="L157" s="78" t="s">
        <v>165</v>
      </c>
      <c r="M157" s="78" t="s">
        <v>40</v>
      </c>
      <c r="N157" s="80">
        <v>2029378347</v>
      </c>
      <c r="O157" s="80"/>
      <c r="P157" s="80"/>
      <c r="Q157" s="80">
        <v>0</v>
      </c>
      <c r="R157" s="80">
        <v>0</v>
      </c>
      <c r="S157" s="80">
        <v>2029378347</v>
      </c>
      <c r="T157" s="80">
        <v>1857471051</v>
      </c>
      <c r="U157" s="80">
        <v>171907296</v>
      </c>
      <c r="V157" s="80">
        <v>516015123</v>
      </c>
      <c r="W157" s="80">
        <v>19349665</v>
      </c>
      <c r="X157" s="80">
        <v>19349665</v>
      </c>
      <c r="Y157" s="80">
        <v>19349665</v>
      </c>
      <c r="Z157" s="80">
        <v>0</v>
      </c>
      <c r="AA157" s="80">
        <v>0</v>
      </c>
      <c r="AB157" t="str">
        <f t="shared" si="7"/>
        <v>C-0301-1000-40</v>
      </c>
      <c r="AC157" t="str">
        <f t="shared" si="8"/>
        <v>C</v>
      </c>
    </row>
    <row r="158" spans="1:29" ht="21" customHeight="1">
      <c r="A158" s="78" t="s">
        <v>708</v>
      </c>
      <c r="B158" s="79">
        <v>2024</v>
      </c>
      <c r="C158" s="78" t="s">
        <v>3</v>
      </c>
      <c r="D158" s="78" t="s">
        <v>154</v>
      </c>
      <c r="E158" s="78" t="s">
        <v>151</v>
      </c>
      <c r="F158" s="78" t="s">
        <v>378</v>
      </c>
      <c r="G158" s="78" t="s">
        <v>379</v>
      </c>
      <c r="H158" s="78" t="s">
        <v>384</v>
      </c>
      <c r="I158" s="78" t="s">
        <v>385</v>
      </c>
      <c r="J158" s="78" t="s">
        <v>38</v>
      </c>
      <c r="K158" s="78" t="s">
        <v>72</v>
      </c>
      <c r="L158" s="78" t="s">
        <v>165</v>
      </c>
      <c r="M158" s="78" t="s">
        <v>40</v>
      </c>
      <c r="N158" s="80">
        <v>417087667</v>
      </c>
      <c r="O158" s="80"/>
      <c r="P158" s="80"/>
      <c r="Q158" s="80">
        <v>0</v>
      </c>
      <c r="R158" s="80">
        <v>0</v>
      </c>
      <c r="S158" s="80">
        <v>417087667</v>
      </c>
      <c r="T158" s="80">
        <v>120102667</v>
      </c>
      <c r="U158" s="80">
        <v>296985000</v>
      </c>
      <c r="V158" s="80">
        <v>116549324</v>
      </c>
      <c r="W158" s="80">
        <v>9949324</v>
      </c>
      <c r="X158" s="80">
        <v>9949324</v>
      </c>
      <c r="Y158" s="80">
        <v>9949324</v>
      </c>
      <c r="Z158" s="80">
        <v>0</v>
      </c>
      <c r="AA158" s="80">
        <v>0</v>
      </c>
      <c r="AB158" t="str">
        <f t="shared" si="7"/>
        <v>C-0301-1000-40</v>
      </c>
      <c r="AC158" t="str">
        <f t="shared" si="8"/>
        <v>C</v>
      </c>
    </row>
    <row r="159" spans="1:29" ht="21" customHeight="1">
      <c r="A159" s="78" t="s">
        <v>708</v>
      </c>
      <c r="B159" s="79">
        <v>2024</v>
      </c>
      <c r="C159" s="78" t="s">
        <v>3</v>
      </c>
      <c r="D159" s="78" t="s">
        <v>154</v>
      </c>
      <c r="E159" s="78" t="s">
        <v>151</v>
      </c>
      <c r="F159" s="78" t="s">
        <v>378</v>
      </c>
      <c r="G159" s="78" t="s">
        <v>379</v>
      </c>
      <c r="H159" s="78" t="s">
        <v>386</v>
      </c>
      <c r="I159" s="78" t="s">
        <v>387</v>
      </c>
      <c r="J159" s="78" t="s">
        <v>38</v>
      </c>
      <c r="K159" s="78" t="s">
        <v>72</v>
      </c>
      <c r="L159" s="78" t="s">
        <v>165</v>
      </c>
      <c r="M159" s="78" t="s">
        <v>40</v>
      </c>
      <c r="N159" s="80">
        <v>4106120114</v>
      </c>
      <c r="O159" s="80"/>
      <c r="P159" s="80"/>
      <c r="Q159" s="80">
        <v>0</v>
      </c>
      <c r="R159" s="80">
        <v>0</v>
      </c>
      <c r="S159" s="80">
        <v>4106120114</v>
      </c>
      <c r="T159" s="80">
        <v>1298780865</v>
      </c>
      <c r="U159" s="80">
        <v>2807339249</v>
      </c>
      <c r="V159" s="80">
        <v>884033496</v>
      </c>
      <c r="W159" s="80">
        <v>52131067</v>
      </c>
      <c r="X159" s="80">
        <v>52131067</v>
      </c>
      <c r="Y159" s="80">
        <v>52131067</v>
      </c>
      <c r="Z159" s="80">
        <v>0</v>
      </c>
      <c r="AA159" s="80">
        <v>0</v>
      </c>
      <c r="AB159" t="str">
        <f t="shared" si="7"/>
        <v>C-0301-1000-40</v>
      </c>
      <c r="AC159" t="str">
        <f t="shared" si="8"/>
        <v>C</v>
      </c>
    </row>
    <row r="160" spans="1:29" ht="21" customHeight="1">
      <c r="A160" s="78" t="s">
        <v>708</v>
      </c>
      <c r="B160" s="79">
        <v>2024</v>
      </c>
      <c r="C160" s="78" t="s">
        <v>3</v>
      </c>
      <c r="D160" s="78" t="s">
        <v>154</v>
      </c>
      <c r="E160" s="78" t="s">
        <v>151</v>
      </c>
      <c r="F160" s="78" t="s">
        <v>378</v>
      </c>
      <c r="G160" s="78" t="s">
        <v>379</v>
      </c>
      <c r="H160" s="78" t="s">
        <v>388</v>
      </c>
      <c r="I160" s="78" t="s">
        <v>389</v>
      </c>
      <c r="J160" s="78" t="s">
        <v>38</v>
      </c>
      <c r="K160" s="78" t="s">
        <v>72</v>
      </c>
      <c r="L160" s="78" t="s">
        <v>165</v>
      </c>
      <c r="M160" s="78" t="s">
        <v>40</v>
      </c>
      <c r="N160" s="80">
        <v>979855441</v>
      </c>
      <c r="O160" s="80"/>
      <c r="P160" s="80"/>
      <c r="Q160" s="80">
        <v>0</v>
      </c>
      <c r="R160" s="80">
        <v>0</v>
      </c>
      <c r="S160" s="80">
        <v>979855441</v>
      </c>
      <c r="T160" s="80">
        <v>815263844</v>
      </c>
      <c r="U160" s="80">
        <v>164591597</v>
      </c>
      <c r="V160" s="80">
        <v>695873341</v>
      </c>
      <c r="W160" s="80">
        <v>59874108</v>
      </c>
      <c r="X160" s="80">
        <v>59874108</v>
      </c>
      <c r="Y160" s="80">
        <v>59874108</v>
      </c>
      <c r="Z160" s="80">
        <v>0</v>
      </c>
      <c r="AA160" s="80">
        <v>0</v>
      </c>
      <c r="AB160" t="str">
        <f t="shared" si="7"/>
        <v>C-0301-1000-40</v>
      </c>
      <c r="AC160" t="str">
        <f t="shared" si="8"/>
        <v>C</v>
      </c>
    </row>
    <row r="161" spans="1:29" ht="21" customHeight="1">
      <c r="A161" s="78" t="s">
        <v>708</v>
      </c>
      <c r="B161" s="79">
        <v>2024</v>
      </c>
      <c r="C161" s="78" t="s">
        <v>3</v>
      </c>
      <c r="D161" s="78" t="s">
        <v>154</v>
      </c>
      <c r="E161" s="78" t="s">
        <v>151</v>
      </c>
      <c r="F161" s="78" t="s">
        <v>390</v>
      </c>
      <c r="G161" s="78" t="s">
        <v>391</v>
      </c>
      <c r="H161" s="78" t="s">
        <v>392</v>
      </c>
      <c r="I161" s="78" t="s">
        <v>393</v>
      </c>
      <c r="J161" s="78" t="s">
        <v>38</v>
      </c>
      <c r="K161" s="78" t="s">
        <v>72</v>
      </c>
      <c r="L161" s="78" t="s">
        <v>165</v>
      </c>
      <c r="M161" s="78" t="s">
        <v>40</v>
      </c>
      <c r="N161" s="80">
        <v>779467392</v>
      </c>
      <c r="O161" s="80"/>
      <c r="P161" s="80"/>
      <c r="Q161" s="80">
        <v>0</v>
      </c>
      <c r="R161" s="80">
        <v>0</v>
      </c>
      <c r="S161" s="80">
        <v>779467392</v>
      </c>
      <c r="T161" s="80">
        <v>662333332</v>
      </c>
      <c r="U161" s="80">
        <v>117134060</v>
      </c>
      <c r="V161" s="80">
        <v>641896669</v>
      </c>
      <c r="W161" s="80">
        <v>23553326</v>
      </c>
      <c r="X161" s="80">
        <v>23553326</v>
      </c>
      <c r="Y161" s="80">
        <v>17813333</v>
      </c>
      <c r="Z161" s="80">
        <v>0</v>
      </c>
      <c r="AA161" s="80">
        <v>0</v>
      </c>
      <c r="AB161" t="str">
        <f t="shared" si="7"/>
        <v>C-0301-1000-40</v>
      </c>
      <c r="AC161" t="str">
        <f t="shared" si="8"/>
        <v>C</v>
      </c>
    </row>
    <row r="162" spans="1:29" ht="21" customHeight="1">
      <c r="A162" s="78" t="s">
        <v>708</v>
      </c>
      <c r="B162" s="79">
        <v>2024</v>
      </c>
      <c r="C162" s="78" t="s">
        <v>3</v>
      </c>
      <c r="D162" s="78" t="s">
        <v>154</v>
      </c>
      <c r="E162" s="78" t="s">
        <v>151</v>
      </c>
      <c r="F162" s="78" t="s">
        <v>390</v>
      </c>
      <c r="G162" s="78" t="s">
        <v>391</v>
      </c>
      <c r="H162" s="78" t="s">
        <v>384</v>
      </c>
      <c r="I162" s="78" t="s">
        <v>385</v>
      </c>
      <c r="J162" s="78" t="s">
        <v>38</v>
      </c>
      <c r="K162" s="78" t="s">
        <v>72</v>
      </c>
      <c r="L162" s="78" t="s">
        <v>165</v>
      </c>
      <c r="M162" s="78" t="s">
        <v>40</v>
      </c>
      <c r="N162" s="80">
        <v>7246366582</v>
      </c>
      <c r="O162" s="80"/>
      <c r="P162" s="80"/>
      <c r="Q162" s="80">
        <v>0</v>
      </c>
      <c r="R162" s="80">
        <v>0</v>
      </c>
      <c r="S162" s="80">
        <v>7246366582</v>
      </c>
      <c r="T162" s="80">
        <v>7121436632</v>
      </c>
      <c r="U162" s="80">
        <v>124929950</v>
      </c>
      <c r="V162" s="80">
        <v>6702826678</v>
      </c>
      <c r="W162" s="80">
        <v>589633339</v>
      </c>
      <c r="X162" s="80">
        <v>572033339</v>
      </c>
      <c r="Y162" s="80">
        <v>510013330</v>
      </c>
      <c r="Z162" s="80">
        <v>0</v>
      </c>
      <c r="AA162" s="80">
        <v>0</v>
      </c>
      <c r="AB162" t="str">
        <f t="shared" si="7"/>
        <v>C-0301-1000-40</v>
      </c>
      <c r="AC162" t="str">
        <f t="shared" si="8"/>
        <v>C</v>
      </c>
    </row>
    <row r="163" spans="1:29" ht="21" customHeight="1">
      <c r="A163" s="78" t="s">
        <v>708</v>
      </c>
      <c r="B163" s="79">
        <v>2024</v>
      </c>
      <c r="C163" s="78" t="s">
        <v>3</v>
      </c>
      <c r="D163" s="78" t="s">
        <v>154</v>
      </c>
      <c r="E163" s="78" t="s">
        <v>151</v>
      </c>
      <c r="F163" s="78" t="s">
        <v>390</v>
      </c>
      <c r="G163" s="78" t="s">
        <v>391</v>
      </c>
      <c r="H163" s="78" t="s">
        <v>386</v>
      </c>
      <c r="I163" s="78" t="s">
        <v>387</v>
      </c>
      <c r="J163" s="78" t="s">
        <v>38</v>
      </c>
      <c r="K163" s="78" t="s">
        <v>72</v>
      </c>
      <c r="L163" s="78" t="s">
        <v>165</v>
      </c>
      <c r="M163" s="78" t="s">
        <v>40</v>
      </c>
      <c r="N163" s="80">
        <v>1390720447</v>
      </c>
      <c r="O163" s="80"/>
      <c r="P163" s="80"/>
      <c r="Q163" s="80">
        <v>0</v>
      </c>
      <c r="R163" s="80">
        <v>0</v>
      </c>
      <c r="S163" s="81">
        <v>1390720447</v>
      </c>
      <c r="T163" s="80">
        <v>1387320447</v>
      </c>
      <c r="U163" s="80">
        <v>3400000</v>
      </c>
      <c r="V163" s="80">
        <v>1025991849</v>
      </c>
      <c r="W163" s="80">
        <v>115797780</v>
      </c>
      <c r="X163" s="80">
        <v>115797780</v>
      </c>
      <c r="Y163" s="80">
        <v>112197780</v>
      </c>
      <c r="Z163" s="80">
        <v>0</v>
      </c>
      <c r="AA163" s="80">
        <v>0</v>
      </c>
      <c r="AB163" t="str">
        <f t="shared" si="7"/>
        <v>C-0301-1000-40</v>
      </c>
      <c r="AC163" t="str">
        <f t="shared" si="8"/>
        <v>C</v>
      </c>
    </row>
    <row r="164" spans="1:29" ht="21" hidden="1" customHeight="1">
      <c r="A164" s="78" t="s">
        <v>708</v>
      </c>
      <c r="B164" s="79">
        <v>2024</v>
      </c>
      <c r="C164" s="78" t="s">
        <v>3</v>
      </c>
      <c r="D164" s="78" t="s">
        <v>154</v>
      </c>
      <c r="E164" s="78" t="s">
        <v>151</v>
      </c>
      <c r="F164" s="78" t="s">
        <v>394</v>
      </c>
      <c r="G164" s="78" t="s">
        <v>395</v>
      </c>
      <c r="H164" s="78" t="s">
        <v>159</v>
      </c>
      <c r="I164" s="78" t="s">
        <v>160</v>
      </c>
      <c r="J164" s="78" t="s">
        <v>38</v>
      </c>
      <c r="K164" s="78" t="s">
        <v>39</v>
      </c>
      <c r="L164" s="78" t="s">
        <v>152</v>
      </c>
      <c r="M164" s="78" t="s">
        <v>40</v>
      </c>
      <c r="N164" s="80">
        <v>52483200</v>
      </c>
      <c r="O164" s="80"/>
      <c r="P164" s="80"/>
      <c r="Q164" s="80">
        <v>0</v>
      </c>
      <c r="R164" s="80">
        <v>0</v>
      </c>
      <c r="S164" s="80">
        <v>52483200</v>
      </c>
      <c r="T164" s="80">
        <v>24600557</v>
      </c>
      <c r="U164" s="80">
        <v>27882643</v>
      </c>
      <c r="V164" s="80">
        <v>0</v>
      </c>
      <c r="W164" s="80">
        <v>0</v>
      </c>
      <c r="X164" s="80">
        <v>0</v>
      </c>
      <c r="Y164" s="80">
        <v>0</v>
      </c>
      <c r="Z164" s="80">
        <v>0</v>
      </c>
      <c r="AA164" s="80">
        <v>0</v>
      </c>
      <c r="AB164" t="str">
        <f t="shared" si="7"/>
        <v>A-02-02-02-008</v>
      </c>
      <c r="AC164" t="str">
        <f t="shared" si="8"/>
        <v>A</v>
      </c>
    </row>
    <row r="165" spans="1:29" ht="21" customHeight="1">
      <c r="A165" s="78" t="s">
        <v>708</v>
      </c>
      <c r="B165" s="79">
        <v>2024</v>
      </c>
      <c r="C165" s="78" t="s">
        <v>3</v>
      </c>
      <c r="D165" s="78" t="s">
        <v>154</v>
      </c>
      <c r="E165" s="78" t="s">
        <v>151</v>
      </c>
      <c r="F165" s="78" t="s">
        <v>394</v>
      </c>
      <c r="G165" s="78" t="s">
        <v>395</v>
      </c>
      <c r="H165" s="78" t="s">
        <v>386</v>
      </c>
      <c r="I165" s="78" t="s">
        <v>387</v>
      </c>
      <c r="J165" s="78" t="s">
        <v>38</v>
      </c>
      <c r="K165" s="78" t="s">
        <v>72</v>
      </c>
      <c r="L165" s="78" t="s">
        <v>165</v>
      </c>
      <c r="M165" s="78" t="s">
        <v>40</v>
      </c>
      <c r="N165" s="80">
        <v>1235449073</v>
      </c>
      <c r="O165" s="80"/>
      <c r="P165" s="80"/>
      <c r="Q165" s="80">
        <v>0</v>
      </c>
      <c r="R165" s="80">
        <v>0</v>
      </c>
      <c r="S165" s="80">
        <v>1235449073</v>
      </c>
      <c r="T165" s="80">
        <v>1235449073</v>
      </c>
      <c r="U165" s="80">
        <v>0</v>
      </c>
      <c r="V165" s="80">
        <v>869295730</v>
      </c>
      <c r="W165" s="80">
        <v>81627533</v>
      </c>
      <c r="X165" s="80">
        <v>69573533</v>
      </c>
      <c r="Y165" s="80">
        <v>53319533</v>
      </c>
      <c r="Z165" s="80">
        <v>0</v>
      </c>
      <c r="AA165" s="80">
        <v>0</v>
      </c>
      <c r="AB165" t="str">
        <f t="shared" si="7"/>
        <v>C-0301-1000-40</v>
      </c>
      <c r="AC165" t="str">
        <f t="shared" si="8"/>
        <v>C</v>
      </c>
    </row>
    <row r="166" spans="1:29" ht="21" customHeight="1">
      <c r="A166" s="78" t="s">
        <v>708</v>
      </c>
      <c r="B166" s="79">
        <v>2024</v>
      </c>
      <c r="C166" s="78" t="s">
        <v>3</v>
      </c>
      <c r="D166" s="78" t="s">
        <v>154</v>
      </c>
      <c r="E166" s="78" t="s">
        <v>151</v>
      </c>
      <c r="F166" s="78" t="s">
        <v>394</v>
      </c>
      <c r="G166" s="78" t="s">
        <v>395</v>
      </c>
      <c r="H166" s="78" t="s">
        <v>388</v>
      </c>
      <c r="I166" s="78" t="s">
        <v>389</v>
      </c>
      <c r="J166" s="78" t="s">
        <v>38</v>
      </c>
      <c r="K166" s="78" t="s">
        <v>72</v>
      </c>
      <c r="L166" s="78" t="s">
        <v>165</v>
      </c>
      <c r="M166" s="78" t="s">
        <v>40</v>
      </c>
      <c r="N166" s="80">
        <v>1248462708</v>
      </c>
      <c r="O166" s="80"/>
      <c r="P166" s="80"/>
      <c r="Q166" s="80">
        <v>0</v>
      </c>
      <c r="R166" s="80">
        <v>0</v>
      </c>
      <c r="S166" s="80">
        <v>1248462708</v>
      </c>
      <c r="T166" s="80">
        <v>1230981694</v>
      </c>
      <c r="U166" s="80">
        <v>17481014</v>
      </c>
      <c r="V166" s="80">
        <v>954664987</v>
      </c>
      <c r="W166" s="80">
        <v>50299995</v>
      </c>
      <c r="X166" s="80">
        <v>50299995</v>
      </c>
      <c r="Y166" s="80">
        <v>50299995</v>
      </c>
      <c r="Z166" s="80">
        <v>0</v>
      </c>
      <c r="AA166" s="80">
        <v>0</v>
      </c>
      <c r="AB166" t="str">
        <f t="shared" si="7"/>
        <v>C-0301-1000-40</v>
      </c>
      <c r="AC166" t="str">
        <f t="shared" si="8"/>
        <v>C</v>
      </c>
    </row>
    <row r="167" spans="1:29" ht="21" customHeight="1">
      <c r="A167" s="78" t="s">
        <v>708</v>
      </c>
      <c r="B167" s="79">
        <v>2024</v>
      </c>
      <c r="C167" s="78" t="s">
        <v>3</v>
      </c>
      <c r="D167" s="78" t="s">
        <v>154</v>
      </c>
      <c r="E167" s="78" t="s">
        <v>151</v>
      </c>
      <c r="F167" s="78" t="s">
        <v>394</v>
      </c>
      <c r="G167" s="78" t="s">
        <v>395</v>
      </c>
      <c r="H167" s="78" t="s">
        <v>396</v>
      </c>
      <c r="I167" s="78" t="s">
        <v>397</v>
      </c>
      <c r="J167" s="78" t="s">
        <v>38</v>
      </c>
      <c r="K167" s="78" t="s">
        <v>72</v>
      </c>
      <c r="L167" s="78" t="s">
        <v>165</v>
      </c>
      <c r="M167" s="78" t="s">
        <v>40</v>
      </c>
      <c r="N167" s="80">
        <v>1934092229</v>
      </c>
      <c r="O167" s="80"/>
      <c r="P167" s="80"/>
      <c r="Q167" s="80">
        <v>0</v>
      </c>
      <c r="R167" s="80">
        <v>0</v>
      </c>
      <c r="S167" s="80">
        <v>1934092229</v>
      </c>
      <c r="T167" s="80">
        <v>1934092229</v>
      </c>
      <c r="U167" s="80">
        <v>0</v>
      </c>
      <c r="V167" s="80">
        <v>1411846994</v>
      </c>
      <c r="W167" s="80">
        <v>117175337</v>
      </c>
      <c r="X167" s="80">
        <v>117175337</v>
      </c>
      <c r="Y167" s="80">
        <v>108345337</v>
      </c>
      <c r="Z167" s="80">
        <v>0</v>
      </c>
      <c r="AA167" s="80">
        <v>0</v>
      </c>
      <c r="AB167" t="str">
        <f t="shared" si="7"/>
        <v>C-0301-1000-40</v>
      </c>
      <c r="AC167" t="str">
        <f t="shared" si="8"/>
        <v>C</v>
      </c>
    </row>
    <row r="168" spans="1:29" ht="21" hidden="1" customHeight="1">
      <c r="A168" s="78" t="s">
        <v>708</v>
      </c>
      <c r="B168" s="79">
        <v>2024</v>
      </c>
      <c r="C168" s="78" t="s">
        <v>3</v>
      </c>
      <c r="D168" s="78" t="s">
        <v>154</v>
      </c>
      <c r="E168" s="78" t="s">
        <v>151</v>
      </c>
      <c r="F168" s="78" t="s">
        <v>398</v>
      </c>
      <c r="G168" s="78" t="s">
        <v>399</v>
      </c>
      <c r="H168" s="78" t="s">
        <v>159</v>
      </c>
      <c r="I168" s="78" t="s">
        <v>160</v>
      </c>
      <c r="J168" s="78" t="s">
        <v>38</v>
      </c>
      <c r="K168" s="78" t="s">
        <v>39</v>
      </c>
      <c r="L168" s="78" t="s">
        <v>152</v>
      </c>
      <c r="M168" s="78" t="s">
        <v>40</v>
      </c>
      <c r="N168" s="80">
        <v>1470316800</v>
      </c>
      <c r="O168" s="80"/>
      <c r="P168" s="80"/>
      <c r="Q168" s="80">
        <v>0</v>
      </c>
      <c r="R168" s="80">
        <v>0</v>
      </c>
      <c r="S168" s="80">
        <v>1470316800</v>
      </c>
      <c r="T168" s="80">
        <v>1454592000</v>
      </c>
      <c r="U168" s="80">
        <v>15724800</v>
      </c>
      <c r="V168" s="80">
        <v>1076684534</v>
      </c>
      <c r="W168" s="80">
        <v>57699466</v>
      </c>
      <c r="X168" s="80">
        <v>57699466</v>
      </c>
      <c r="Y168" s="80">
        <v>57699466</v>
      </c>
      <c r="Z168" s="80">
        <v>0</v>
      </c>
      <c r="AA168" s="80">
        <v>0</v>
      </c>
      <c r="AB168" t="str">
        <f t="shared" si="7"/>
        <v>A-02-02-02-008</v>
      </c>
      <c r="AC168" t="str">
        <f t="shared" si="8"/>
        <v>A</v>
      </c>
    </row>
    <row r="169" spans="1:29" ht="21" hidden="1" customHeight="1">
      <c r="A169" s="78" t="s">
        <v>708</v>
      </c>
      <c r="B169" s="79">
        <v>2024</v>
      </c>
      <c r="C169" s="78" t="s">
        <v>3</v>
      </c>
      <c r="D169" s="78" t="s">
        <v>154</v>
      </c>
      <c r="E169" s="78" t="s">
        <v>151</v>
      </c>
      <c r="F169" s="78" t="s">
        <v>400</v>
      </c>
      <c r="G169" s="78" t="s">
        <v>401</v>
      </c>
      <c r="H169" s="78" t="s">
        <v>157</v>
      </c>
      <c r="I169" s="78" t="s">
        <v>158</v>
      </c>
      <c r="J169" s="78" t="s">
        <v>38</v>
      </c>
      <c r="K169" s="78" t="s">
        <v>39</v>
      </c>
      <c r="L169" s="78" t="s">
        <v>152</v>
      </c>
      <c r="M169" s="78" t="s">
        <v>40</v>
      </c>
      <c r="N169" s="80">
        <v>146267733</v>
      </c>
      <c r="O169" s="80"/>
      <c r="P169" s="80"/>
      <c r="Q169" s="80">
        <v>0</v>
      </c>
      <c r="R169" s="80">
        <v>0</v>
      </c>
      <c r="S169" s="80">
        <v>146267733</v>
      </c>
      <c r="T169" s="80">
        <v>146267733</v>
      </c>
      <c r="U169" s="80">
        <v>0</v>
      </c>
      <c r="V169" s="80">
        <v>142527929</v>
      </c>
      <c r="W169" s="80">
        <v>17867929</v>
      </c>
      <c r="X169" s="80">
        <v>17867929</v>
      </c>
      <c r="Y169" s="80">
        <v>17867929</v>
      </c>
      <c r="Z169" s="80">
        <v>0</v>
      </c>
      <c r="AA169" s="80">
        <v>0</v>
      </c>
      <c r="AB169" t="str">
        <f t="shared" si="7"/>
        <v>A-02-02-02-008</v>
      </c>
      <c r="AC169" t="str">
        <f t="shared" si="8"/>
        <v>A</v>
      </c>
    </row>
    <row r="170" spans="1:29" ht="21" customHeight="1">
      <c r="A170" s="78" t="s">
        <v>708</v>
      </c>
      <c r="B170" s="79">
        <v>2024</v>
      </c>
      <c r="C170" s="78" t="s">
        <v>3</v>
      </c>
      <c r="D170" s="78" t="s">
        <v>154</v>
      </c>
      <c r="E170" s="78" t="s">
        <v>151</v>
      </c>
      <c r="F170" s="78" t="s">
        <v>400</v>
      </c>
      <c r="G170" s="78" t="s">
        <v>401</v>
      </c>
      <c r="H170" s="78" t="s">
        <v>402</v>
      </c>
      <c r="I170" s="78" t="s">
        <v>403</v>
      </c>
      <c r="J170" s="78" t="s">
        <v>38</v>
      </c>
      <c r="K170" s="78" t="s">
        <v>72</v>
      </c>
      <c r="L170" s="78" t="s">
        <v>165</v>
      </c>
      <c r="M170" s="78" t="s">
        <v>40</v>
      </c>
      <c r="N170" s="80">
        <v>538962757</v>
      </c>
      <c r="O170" s="80"/>
      <c r="P170" s="80"/>
      <c r="Q170" s="80">
        <v>0</v>
      </c>
      <c r="R170" s="80">
        <v>0</v>
      </c>
      <c r="S170" s="80">
        <v>538962757</v>
      </c>
      <c r="T170" s="80">
        <v>270638720</v>
      </c>
      <c r="U170" s="80">
        <v>268324037</v>
      </c>
      <c r="V170" s="80">
        <v>265118980</v>
      </c>
      <c r="W170" s="80">
        <v>32154400</v>
      </c>
      <c r="X170" s="80">
        <v>32154400</v>
      </c>
      <c r="Y170" s="80">
        <v>32154400</v>
      </c>
      <c r="Z170" s="80">
        <v>0</v>
      </c>
      <c r="AA170" s="80">
        <v>0</v>
      </c>
      <c r="AB170" t="str">
        <f t="shared" si="7"/>
        <v>C-0301-1000-38</v>
      </c>
      <c r="AC170" t="str">
        <f t="shared" si="8"/>
        <v>C</v>
      </c>
    </row>
    <row r="171" spans="1:29" ht="21" customHeight="1">
      <c r="A171" s="78" t="s">
        <v>708</v>
      </c>
      <c r="B171" s="79">
        <v>2024</v>
      </c>
      <c r="C171" s="78" t="s">
        <v>3</v>
      </c>
      <c r="D171" s="78" t="s">
        <v>154</v>
      </c>
      <c r="E171" s="78" t="s">
        <v>151</v>
      </c>
      <c r="F171" s="78" t="s">
        <v>400</v>
      </c>
      <c r="G171" s="78" t="s">
        <v>401</v>
      </c>
      <c r="H171" s="78" t="s">
        <v>404</v>
      </c>
      <c r="I171" s="78" t="s">
        <v>405</v>
      </c>
      <c r="J171" s="78" t="s">
        <v>38</v>
      </c>
      <c r="K171" s="78" t="s">
        <v>72</v>
      </c>
      <c r="L171" s="78" t="s">
        <v>165</v>
      </c>
      <c r="M171" s="78" t="s">
        <v>40</v>
      </c>
      <c r="N171" s="80">
        <v>2050997600</v>
      </c>
      <c r="O171" s="80">
        <v>0</v>
      </c>
      <c r="P171" s="80">
        <v>2050997600</v>
      </c>
      <c r="Q171" s="80">
        <v>0</v>
      </c>
      <c r="R171" s="80">
        <v>0</v>
      </c>
      <c r="S171" s="80">
        <v>0</v>
      </c>
      <c r="T171" s="80">
        <v>0</v>
      </c>
      <c r="U171" s="80">
        <v>0</v>
      </c>
      <c r="V171" s="80"/>
      <c r="W171" s="80">
        <v>0</v>
      </c>
      <c r="X171" s="80">
        <v>0</v>
      </c>
      <c r="Y171" s="80">
        <v>0</v>
      </c>
      <c r="Z171" s="80">
        <v>0</v>
      </c>
      <c r="AA171" s="80">
        <v>0</v>
      </c>
      <c r="AB171" t="str">
        <f t="shared" si="7"/>
        <v>C-0301-1000-38</v>
      </c>
      <c r="AC171" t="str">
        <f t="shared" si="8"/>
        <v>C</v>
      </c>
    </row>
    <row r="172" spans="1:29" ht="21" customHeight="1">
      <c r="A172" s="78" t="s">
        <v>708</v>
      </c>
      <c r="B172" s="79">
        <v>2024</v>
      </c>
      <c r="C172" s="78" t="s">
        <v>3</v>
      </c>
      <c r="D172" s="78" t="s">
        <v>154</v>
      </c>
      <c r="E172" s="78" t="s">
        <v>151</v>
      </c>
      <c r="F172" s="78" t="s">
        <v>400</v>
      </c>
      <c r="G172" s="78" t="s">
        <v>401</v>
      </c>
      <c r="H172" s="78" t="s">
        <v>406</v>
      </c>
      <c r="I172" s="78" t="s">
        <v>407</v>
      </c>
      <c r="J172" s="78" t="s">
        <v>38</v>
      </c>
      <c r="K172" s="78" t="s">
        <v>72</v>
      </c>
      <c r="L172" s="78" t="s">
        <v>165</v>
      </c>
      <c r="M172" s="78" t="s">
        <v>40</v>
      </c>
      <c r="N172" s="80">
        <v>14574446910</v>
      </c>
      <c r="O172" s="80">
        <v>0</v>
      </c>
      <c r="P172" s="80">
        <v>11524587390</v>
      </c>
      <c r="Q172" s="80">
        <v>0</v>
      </c>
      <c r="R172" s="80">
        <v>0</v>
      </c>
      <c r="S172" s="80">
        <v>3049859520</v>
      </c>
      <c r="T172" s="80">
        <v>3049859520</v>
      </c>
      <c r="U172" s="80">
        <v>0</v>
      </c>
      <c r="V172" s="80">
        <v>3049859520</v>
      </c>
      <c r="W172" s="80">
        <v>0</v>
      </c>
      <c r="X172" s="80">
        <v>0</v>
      </c>
      <c r="Y172" s="80">
        <v>0</v>
      </c>
      <c r="Z172" s="80">
        <v>0</v>
      </c>
      <c r="AA172" s="80">
        <v>0</v>
      </c>
      <c r="AB172" t="str">
        <f t="shared" si="7"/>
        <v>C-0301-1000-38</v>
      </c>
      <c r="AC172" t="str">
        <f t="shared" si="8"/>
        <v>C</v>
      </c>
    </row>
    <row r="173" spans="1:29" ht="21" customHeight="1">
      <c r="A173" s="78" t="s">
        <v>708</v>
      </c>
      <c r="B173" s="79">
        <v>2024</v>
      </c>
      <c r="C173" s="78" t="s">
        <v>3</v>
      </c>
      <c r="D173" s="78" t="s">
        <v>154</v>
      </c>
      <c r="E173" s="78" t="s">
        <v>151</v>
      </c>
      <c r="F173" s="78" t="s">
        <v>400</v>
      </c>
      <c r="G173" s="78" t="s">
        <v>401</v>
      </c>
      <c r="H173" s="78" t="s">
        <v>408</v>
      </c>
      <c r="I173" s="78" t="s">
        <v>409</v>
      </c>
      <c r="J173" s="78" t="s">
        <v>38</v>
      </c>
      <c r="K173" s="78" t="s">
        <v>72</v>
      </c>
      <c r="L173" s="78" t="s">
        <v>165</v>
      </c>
      <c r="M173" s="78" t="s">
        <v>40</v>
      </c>
      <c r="N173" s="80">
        <v>918990333</v>
      </c>
      <c r="O173" s="80"/>
      <c r="P173" s="80"/>
      <c r="Q173" s="80">
        <v>0</v>
      </c>
      <c r="R173" s="80">
        <v>0</v>
      </c>
      <c r="S173" s="80">
        <v>918990333</v>
      </c>
      <c r="T173" s="80">
        <v>889234575</v>
      </c>
      <c r="U173" s="80">
        <v>29755758</v>
      </c>
      <c r="V173" s="80">
        <v>774607377</v>
      </c>
      <c r="W173" s="80">
        <v>61668056</v>
      </c>
      <c r="X173" s="80">
        <v>61668056</v>
      </c>
      <c r="Y173" s="80">
        <v>52072523</v>
      </c>
      <c r="Z173" s="80">
        <v>0</v>
      </c>
      <c r="AA173" s="80">
        <v>0</v>
      </c>
      <c r="AB173" t="str">
        <f t="shared" si="7"/>
        <v>C-0301-1000-38</v>
      </c>
      <c r="AC173" t="str">
        <f t="shared" si="8"/>
        <v>C</v>
      </c>
    </row>
    <row r="174" spans="1:29" ht="21" customHeight="1">
      <c r="A174" s="78" t="s">
        <v>708</v>
      </c>
      <c r="B174" s="79">
        <v>2024</v>
      </c>
      <c r="C174" s="78" t="s">
        <v>3</v>
      </c>
      <c r="D174" s="78" t="s">
        <v>154</v>
      </c>
      <c r="E174" s="78" t="s">
        <v>151</v>
      </c>
      <c r="F174" s="78" t="s">
        <v>400</v>
      </c>
      <c r="G174" s="78" t="s">
        <v>401</v>
      </c>
      <c r="H174" s="78" t="s">
        <v>410</v>
      </c>
      <c r="I174" s="78" t="s">
        <v>411</v>
      </c>
      <c r="J174" s="78" t="s">
        <v>38</v>
      </c>
      <c r="K174" s="78" t="s">
        <v>72</v>
      </c>
      <c r="L174" s="78" t="s">
        <v>165</v>
      </c>
      <c r="M174" s="78" t="s">
        <v>40</v>
      </c>
      <c r="N174" s="80">
        <v>620906000</v>
      </c>
      <c r="O174" s="80"/>
      <c r="P174" s="80"/>
      <c r="Q174" s="80">
        <v>0</v>
      </c>
      <c r="R174" s="80">
        <v>0</v>
      </c>
      <c r="S174" s="80">
        <v>620906000</v>
      </c>
      <c r="T174" s="80">
        <v>617990000</v>
      </c>
      <c r="U174" s="80">
        <v>2916000</v>
      </c>
      <c r="V174" s="80">
        <v>548576948</v>
      </c>
      <c r="W174" s="80">
        <v>41198406</v>
      </c>
      <c r="X174" s="80">
        <v>41198406</v>
      </c>
      <c r="Y174" s="80">
        <v>22198406</v>
      </c>
      <c r="Z174" s="80">
        <v>0</v>
      </c>
      <c r="AA174" s="80">
        <v>0</v>
      </c>
      <c r="AB174" t="str">
        <f t="shared" si="7"/>
        <v>C-0301-1000-38</v>
      </c>
      <c r="AC174" t="str">
        <f t="shared" si="8"/>
        <v>C</v>
      </c>
    </row>
    <row r="175" spans="1:29" ht="21" customHeight="1">
      <c r="A175" s="78" t="s">
        <v>708</v>
      </c>
      <c r="B175" s="79">
        <v>2024</v>
      </c>
      <c r="C175" s="78" t="s">
        <v>3</v>
      </c>
      <c r="D175" s="78" t="s">
        <v>154</v>
      </c>
      <c r="E175" s="78" t="s">
        <v>151</v>
      </c>
      <c r="F175" s="78" t="s">
        <v>400</v>
      </c>
      <c r="G175" s="78" t="s">
        <v>401</v>
      </c>
      <c r="H175" s="78" t="s">
        <v>412</v>
      </c>
      <c r="I175" s="78" t="s">
        <v>413</v>
      </c>
      <c r="J175" s="78" t="s">
        <v>38</v>
      </c>
      <c r="K175" s="78" t="s">
        <v>72</v>
      </c>
      <c r="L175" s="78" t="s">
        <v>165</v>
      </c>
      <c r="M175" s="78" t="s">
        <v>40</v>
      </c>
      <c r="N175" s="80">
        <v>2295696400</v>
      </c>
      <c r="O175" s="80"/>
      <c r="P175" s="80"/>
      <c r="Q175" s="80">
        <v>0</v>
      </c>
      <c r="R175" s="80">
        <v>0</v>
      </c>
      <c r="S175" s="80">
        <v>2295696400</v>
      </c>
      <c r="T175" s="80">
        <v>281004000</v>
      </c>
      <c r="U175" s="80">
        <v>2014692400</v>
      </c>
      <c r="V175" s="80">
        <v>279420670</v>
      </c>
      <c r="W175" s="80">
        <v>26923076</v>
      </c>
      <c r="X175" s="80">
        <v>26923076</v>
      </c>
      <c r="Y175" s="80">
        <v>26923076</v>
      </c>
      <c r="Z175" s="80">
        <v>0</v>
      </c>
      <c r="AA175" s="80">
        <v>0</v>
      </c>
      <c r="AB175" t="str">
        <f t="shared" si="7"/>
        <v>C-0301-1000-38</v>
      </c>
      <c r="AC175" t="str">
        <f t="shared" si="8"/>
        <v>C</v>
      </c>
    </row>
    <row r="176" spans="1:29" ht="21" customHeight="1">
      <c r="A176" s="78" t="s">
        <v>708</v>
      </c>
      <c r="B176" s="79">
        <v>2024</v>
      </c>
      <c r="C176" s="78" t="s">
        <v>3</v>
      </c>
      <c r="D176" s="78" t="s">
        <v>154</v>
      </c>
      <c r="E176" s="78" t="s">
        <v>151</v>
      </c>
      <c r="F176" s="78" t="s">
        <v>400</v>
      </c>
      <c r="G176" s="78" t="s">
        <v>401</v>
      </c>
      <c r="H176" s="78" t="s">
        <v>414</v>
      </c>
      <c r="I176" s="78" t="s">
        <v>415</v>
      </c>
      <c r="J176" s="78" t="s">
        <v>38</v>
      </c>
      <c r="K176" s="78" t="s">
        <v>72</v>
      </c>
      <c r="L176" s="78" t="s">
        <v>165</v>
      </c>
      <c r="M176" s="78" t="s">
        <v>40</v>
      </c>
      <c r="N176" s="80">
        <v>2050997600</v>
      </c>
      <c r="O176" s="80"/>
      <c r="P176" s="80"/>
      <c r="Q176" s="80">
        <v>0</v>
      </c>
      <c r="R176" s="80">
        <v>0</v>
      </c>
      <c r="S176" s="80">
        <v>2050997600</v>
      </c>
      <c r="T176" s="80">
        <v>1871788989</v>
      </c>
      <c r="U176" s="80">
        <v>179208611</v>
      </c>
      <c r="V176" s="80">
        <v>1740241921</v>
      </c>
      <c r="W176" s="80">
        <v>141498692</v>
      </c>
      <c r="X176" s="80">
        <v>131998692</v>
      </c>
      <c r="Y176" s="80">
        <v>103545025</v>
      </c>
      <c r="Z176" s="80">
        <v>0</v>
      </c>
      <c r="AA176" s="80">
        <v>0</v>
      </c>
      <c r="AB176" t="str">
        <f t="shared" si="7"/>
        <v>C-0301-1000-38</v>
      </c>
      <c r="AC176" t="str">
        <f t="shared" si="8"/>
        <v>C</v>
      </c>
    </row>
    <row r="177" spans="1:29" ht="21" customHeight="1">
      <c r="A177" s="78" t="s">
        <v>708</v>
      </c>
      <c r="B177" s="79">
        <v>2024</v>
      </c>
      <c r="C177" s="78" t="s">
        <v>3</v>
      </c>
      <c r="D177" s="78" t="s">
        <v>154</v>
      </c>
      <c r="E177" s="78" t="s">
        <v>151</v>
      </c>
      <c r="F177" s="78" t="s">
        <v>400</v>
      </c>
      <c r="G177" s="78" t="s">
        <v>401</v>
      </c>
      <c r="H177" s="78" t="s">
        <v>416</v>
      </c>
      <c r="I177" s="78" t="s">
        <v>417</v>
      </c>
      <c r="J177" s="78" t="s">
        <v>38</v>
      </c>
      <c r="K177" s="78" t="s">
        <v>72</v>
      </c>
      <c r="L177" s="78" t="s">
        <v>165</v>
      </c>
      <c r="M177" s="78" t="s">
        <v>40</v>
      </c>
      <c r="N177" s="80">
        <v>11524587390</v>
      </c>
      <c r="O177" s="80"/>
      <c r="P177" s="80"/>
      <c r="Q177" s="80">
        <v>0</v>
      </c>
      <c r="R177" s="80">
        <v>0</v>
      </c>
      <c r="S177" s="80">
        <v>11524587390</v>
      </c>
      <c r="T177" s="80">
        <v>9904698420</v>
      </c>
      <c r="U177" s="80">
        <v>1619888970</v>
      </c>
      <c r="V177" s="80">
        <v>1126269150</v>
      </c>
      <c r="W177" s="80">
        <v>64597590</v>
      </c>
      <c r="X177" s="80">
        <v>64597590</v>
      </c>
      <c r="Y177" s="80">
        <v>49806450</v>
      </c>
      <c r="Z177" s="80">
        <v>0</v>
      </c>
      <c r="AA177" s="80">
        <v>0</v>
      </c>
      <c r="AB177" t="str">
        <f t="shared" si="7"/>
        <v>C-0301-1000-38</v>
      </c>
      <c r="AC177" t="str">
        <f t="shared" si="8"/>
        <v>C</v>
      </c>
    </row>
    <row r="178" spans="1:29" ht="21" customHeight="1">
      <c r="A178" s="78" t="s">
        <v>708</v>
      </c>
      <c r="B178" s="79">
        <v>2024</v>
      </c>
      <c r="C178" s="78" t="s">
        <v>3</v>
      </c>
      <c r="D178" s="78" t="s">
        <v>418</v>
      </c>
      <c r="E178" s="78" t="s">
        <v>419</v>
      </c>
      <c r="F178" s="78" t="s">
        <v>366</v>
      </c>
      <c r="G178" s="78" t="s">
        <v>367</v>
      </c>
      <c r="H178" s="78" t="s">
        <v>420</v>
      </c>
      <c r="I178" s="78" t="s">
        <v>421</v>
      </c>
      <c r="J178" s="78" t="s">
        <v>38</v>
      </c>
      <c r="K178" s="78" t="s">
        <v>85</v>
      </c>
      <c r="L178" s="78" t="s">
        <v>422</v>
      </c>
      <c r="M178" s="78" t="s">
        <v>40</v>
      </c>
      <c r="N178" s="80">
        <v>1267014897</v>
      </c>
      <c r="O178" s="80"/>
      <c r="P178" s="80"/>
      <c r="Q178" s="80">
        <v>0</v>
      </c>
      <c r="R178" s="80">
        <v>0</v>
      </c>
      <c r="S178" s="80">
        <v>1267014897</v>
      </c>
      <c r="T178" s="80">
        <v>597962057</v>
      </c>
      <c r="U178" s="80">
        <v>669052840</v>
      </c>
      <c r="V178" s="80">
        <v>597962057</v>
      </c>
      <c r="W178" s="80">
        <v>0</v>
      </c>
      <c r="X178" s="80">
        <v>0</v>
      </c>
      <c r="Y178" s="80">
        <v>0</v>
      </c>
      <c r="Z178" s="80">
        <v>0</v>
      </c>
      <c r="AA178" s="80">
        <v>0</v>
      </c>
      <c r="AB178" t="str">
        <f t="shared" si="7"/>
        <v>C-0301-1000-20</v>
      </c>
      <c r="AC178" t="str">
        <f t="shared" si="8"/>
        <v>C</v>
      </c>
    </row>
    <row r="179" spans="1:29" ht="21" customHeight="1">
      <c r="A179" s="78" t="s">
        <v>708</v>
      </c>
      <c r="B179" s="79">
        <v>2024</v>
      </c>
      <c r="C179" s="78" t="s">
        <v>3</v>
      </c>
      <c r="D179" s="78" t="s">
        <v>418</v>
      </c>
      <c r="E179" s="78" t="s">
        <v>419</v>
      </c>
      <c r="F179" s="78" t="s">
        <v>374</v>
      </c>
      <c r="G179" s="78" t="s">
        <v>375</v>
      </c>
      <c r="H179" s="78" t="s">
        <v>423</v>
      </c>
      <c r="I179" s="78" t="s">
        <v>424</v>
      </c>
      <c r="J179" s="78" t="s">
        <v>38</v>
      </c>
      <c r="K179" s="78" t="s">
        <v>85</v>
      </c>
      <c r="L179" s="78" t="s">
        <v>422</v>
      </c>
      <c r="M179" s="78" t="s">
        <v>40</v>
      </c>
      <c r="N179" s="80">
        <v>495655771</v>
      </c>
      <c r="O179" s="80"/>
      <c r="P179" s="80"/>
      <c r="Q179" s="80">
        <v>0</v>
      </c>
      <c r="R179" s="80">
        <v>0</v>
      </c>
      <c r="S179" s="80">
        <v>495655771</v>
      </c>
      <c r="T179" s="80">
        <v>272339048</v>
      </c>
      <c r="U179" s="80">
        <v>223316723</v>
      </c>
      <c r="V179" s="80">
        <v>272339048</v>
      </c>
      <c r="W179" s="80">
        <v>0</v>
      </c>
      <c r="X179" s="80">
        <v>0</v>
      </c>
      <c r="Y179" s="80">
        <v>0</v>
      </c>
      <c r="Z179" s="80">
        <v>0</v>
      </c>
      <c r="AA179" s="80">
        <v>0</v>
      </c>
      <c r="AB179" t="str">
        <f t="shared" si="7"/>
        <v>C-0301-1000-20</v>
      </c>
      <c r="AC179" t="str">
        <f t="shared" si="8"/>
        <v>C</v>
      </c>
    </row>
    <row r="180" spans="1:29" ht="21" customHeight="1">
      <c r="A180" s="78" t="s">
        <v>708</v>
      </c>
      <c r="B180" s="79">
        <v>2024</v>
      </c>
      <c r="C180" s="78" t="s">
        <v>3</v>
      </c>
      <c r="D180" s="78" t="s">
        <v>418</v>
      </c>
      <c r="E180" s="78" t="s">
        <v>419</v>
      </c>
      <c r="F180" s="78" t="s">
        <v>376</v>
      </c>
      <c r="G180" s="78" t="s">
        <v>377</v>
      </c>
      <c r="H180" s="78" t="s">
        <v>423</v>
      </c>
      <c r="I180" s="78" t="s">
        <v>424</v>
      </c>
      <c r="J180" s="78" t="s">
        <v>38</v>
      </c>
      <c r="K180" s="78" t="s">
        <v>85</v>
      </c>
      <c r="L180" s="78" t="s">
        <v>422</v>
      </c>
      <c r="M180" s="78" t="s">
        <v>40</v>
      </c>
      <c r="N180" s="80">
        <v>4265538332</v>
      </c>
      <c r="O180" s="80"/>
      <c r="P180" s="80"/>
      <c r="Q180" s="80">
        <v>0</v>
      </c>
      <c r="R180" s="80">
        <v>0</v>
      </c>
      <c r="S180" s="80">
        <v>4265538332</v>
      </c>
      <c r="T180" s="80">
        <v>3061227103</v>
      </c>
      <c r="U180" s="80">
        <v>1204311229</v>
      </c>
      <c r="V180" s="80">
        <v>3061227103</v>
      </c>
      <c r="W180" s="80">
        <v>0</v>
      </c>
      <c r="X180" s="80">
        <v>0</v>
      </c>
      <c r="Y180" s="80">
        <v>0</v>
      </c>
      <c r="Z180" s="80">
        <v>0</v>
      </c>
      <c r="AA180" s="80">
        <v>0</v>
      </c>
      <c r="AB180" t="str">
        <f t="shared" si="7"/>
        <v>C-0301-1000-20</v>
      </c>
      <c r="AC180" t="str">
        <f t="shared" si="8"/>
        <v>C</v>
      </c>
    </row>
    <row r="181" spans="1:29" ht="21" customHeight="1">
      <c r="A181" s="78" t="s">
        <v>708</v>
      </c>
      <c r="B181" s="79">
        <v>2024</v>
      </c>
      <c r="C181" s="78" t="s">
        <v>3</v>
      </c>
      <c r="D181" s="78" t="s">
        <v>425</v>
      </c>
      <c r="E181" s="78" t="s">
        <v>426</v>
      </c>
      <c r="F181" s="78" t="s">
        <v>234</v>
      </c>
      <c r="G181" s="78" t="s">
        <v>235</v>
      </c>
      <c r="H181" s="78" t="s">
        <v>427</v>
      </c>
      <c r="I181" s="78" t="s">
        <v>428</v>
      </c>
      <c r="J181" s="78" t="s">
        <v>38</v>
      </c>
      <c r="K181" s="78" t="s">
        <v>85</v>
      </c>
      <c r="L181" s="78" t="s">
        <v>422</v>
      </c>
      <c r="M181" s="78" t="s">
        <v>40</v>
      </c>
      <c r="N181" s="80">
        <v>123900000</v>
      </c>
      <c r="O181" s="80"/>
      <c r="P181" s="80"/>
      <c r="Q181" s="80">
        <v>0</v>
      </c>
      <c r="R181" s="80">
        <v>0</v>
      </c>
      <c r="S181" s="80">
        <v>123900000</v>
      </c>
      <c r="T181" s="80">
        <v>0</v>
      </c>
      <c r="U181" s="80">
        <v>123900000</v>
      </c>
      <c r="V181" s="80"/>
      <c r="W181" s="80">
        <v>0</v>
      </c>
      <c r="X181" s="80">
        <v>0</v>
      </c>
      <c r="Y181" s="80">
        <v>0</v>
      </c>
      <c r="Z181" s="80">
        <v>0</v>
      </c>
      <c r="AA181" s="80">
        <v>0</v>
      </c>
      <c r="AB181" t="str">
        <f t="shared" si="7"/>
        <v>C-0301-1000-22</v>
      </c>
      <c r="AC181" t="str">
        <f t="shared" si="8"/>
        <v>C</v>
      </c>
    </row>
    <row r="182" spans="1:29" ht="21" customHeight="1">
      <c r="A182" s="78" t="s">
        <v>708</v>
      </c>
      <c r="B182" s="79">
        <v>2024</v>
      </c>
      <c r="C182" s="78" t="s">
        <v>3</v>
      </c>
      <c r="D182" s="78" t="s">
        <v>425</v>
      </c>
      <c r="E182" s="78" t="s">
        <v>426</v>
      </c>
      <c r="F182" s="78" t="s">
        <v>274</v>
      </c>
      <c r="G182" s="78" t="s">
        <v>275</v>
      </c>
      <c r="H182" s="78" t="s">
        <v>427</v>
      </c>
      <c r="I182" s="78" t="s">
        <v>428</v>
      </c>
      <c r="J182" s="78" t="s">
        <v>38</v>
      </c>
      <c r="K182" s="78" t="s">
        <v>85</v>
      </c>
      <c r="L182" s="78" t="s">
        <v>422</v>
      </c>
      <c r="M182" s="78" t="s">
        <v>40</v>
      </c>
      <c r="N182" s="80">
        <v>160000000</v>
      </c>
      <c r="O182" s="80"/>
      <c r="P182" s="80"/>
      <c r="Q182" s="80">
        <v>0</v>
      </c>
      <c r="R182" s="80">
        <v>0</v>
      </c>
      <c r="S182" s="80">
        <v>160000000</v>
      </c>
      <c r="T182" s="80">
        <v>0</v>
      </c>
      <c r="U182" s="80">
        <v>160000000</v>
      </c>
      <c r="V182" s="80"/>
      <c r="W182" s="80">
        <v>0</v>
      </c>
      <c r="X182" s="80">
        <v>0</v>
      </c>
      <c r="Y182" s="80">
        <v>0</v>
      </c>
      <c r="Z182" s="80">
        <v>0</v>
      </c>
      <c r="AA182" s="80">
        <v>0</v>
      </c>
      <c r="AB182" t="str">
        <f t="shared" si="7"/>
        <v>C-0301-1000-22</v>
      </c>
      <c r="AC182" t="str">
        <f t="shared" si="8"/>
        <v>C</v>
      </c>
    </row>
    <row r="183" spans="1:29" ht="21" customHeight="1">
      <c r="A183" s="78" t="s">
        <v>708</v>
      </c>
      <c r="B183" s="79">
        <v>2024</v>
      </c>
      <c r="C183" s="78" t="s">
        <v>3</v>
      </c>
      <c r="D183" s="78" t="s">
        <v>425</v>
      </c>
      <c r="E183" s="78" t="s">
        <v>426</v>
      </c>
      <c r="F183" s="78" t="s">
        <v>274</v>
      </c>
      <c r="G183" s="78" t="s">
        <v>275</v>
      </c>
      <c r="H183" s="78" t="s">
        <v>429</v>
      </c>
      <c r="I183" s="78" t="s">
        <v>430</v>
      </c>
      <c r="J183" s="78" t="s">
        <v>38</v>
      </c>
      <c r="K183" s="78" t="s">
        <v>85</v>
      </c>
      <c r="L183" s="78" t="s">
        <v>422</v>
      </c>
      <c r="M183" s="78" t="s">
        <v>40</v>
      </c>
      <c r="N183" s="80">
        <v>287995000</v>
      </c>
      <c r="O183" s="80"/>
      <c r="P183" s="80"/>
      <c r="Q183" s="80">
        <v>0</v>
      </c>
      <c r="R183" s="80">
        <v>0</v>
      </c>
      <c r="S183" s="80">
        <v>287995000</v>
      </c>
      <c r="T183" s="80">
        <v>195160000</v>
      </c>
      <c r="U183" s="80">
        <v>92835000</v>
      </c>
      <c r="V183" s="80">
        <v>181493333</v>
      </c>
      <c r="W183" s="80">
        <v>17493333</v>
      </c>
      <c r="X183" s="80">
        <v>17493333</v>
      </c>
      <c r="Y183" s="80">
        <v>17493333</v>
      </c>
      <c r="Z183" s="80">
        <v>0</v>
      </c>
      <c r="AA183" s="80">
        <v>0</v>
      </c>
      <c r="AB183" t="str">
        <f t="shared" si="7"/>
        <v>C-0301-1000-22</v>
      </c>
      <c r="AC183" t="str">
        <f t="shared" si="8"/>
        <v>C</v>
      </c>
    </row>
    <row r="184" spans="1:29" ht="21" customHeight="1">
      <c r="A184" s="78" t="s">
        <v>708</v>
      </c>
      <c r="B184" s="79">
        <v>2024</v>
      </c>
      <c r="C184" s="78" t="s">
        <v>3</v>
      </c>
      <c r="D184" s="78" t="s">
        <v>425</v>
      </c>
      <c r="E184" s="78" t="s">
        <v>426</v>
      </c>
      <c r="F184" s="78" t="s">
        <v>358</v>
      </c>
      <c r="G184" s="78" t="s">
        <v>359</v>
      </c>
      <c r="H184" s="78" t="s">
        <v>427</v>
      </c>
      <c r="I184" s="78" t="s">
        <v>428</v>
      </c>
      <c r="J184" s="78" t="s">
        <v>38</v>
      </c>
      <c r="K184" s="78" t="s">
        <v>85</v>
      </c>
      <c r="L184" s="78" t="s">
        <v>422</v>
      </c>
      <c r="M184" s="78" t="s">
        <v>40</v>
      </c>
      <c r="N184" s="80">
        <v>309000000</v>
      </c>
      <c r="O184" s="80"/>
      <c r="P184" s="80"/>
      <c r="Q184" s="80">
        <v>0</v>
      </c>
      <c r="R184" s="80">
        <v>0</v>
      </c>
      <c r="S184" s="80">
        <v>309000000</v>
      </c>
      <c r="T184" s="80">
        <v>118999881</v>
      </c>
      <c r="U184" s="80">
        <v>190000119</v>
      </c>
      <c r="V184" s="80">
        <v>110666666</v>
      </c>
      <c r="W184" s="80">
        <v>10666666</v>
      </c>
      <c r="X184" s="80">
        <v>10666666</v>
      </c>
      <c r="Y184" s="80">
        <v>10666666</v>
      </c>
      <c r="Z184" s="80">
        <v>0</v>
      </c>
      <c r="AA184" s="80">
        <v>0</v>
      </c>
      <c r="AB184" t="str">
        <f t="shared" si="7"/>
        <v>C-0301-1000-22</v>
      </c>
      <c r="AC184" t="str">
        <f t="shared" si="8"/>
        <v>C</v>
      </c>
    </row>
    <row r="185" spans="1:29" ht="21" customHeight="1">
      <c r="A185" s="78" t="s">
        <v>708</v>
      </c>
      <c r="B185" s="79">
        <v>2024</v>
      </c>
      <c r="C185" s="78" t="s">
        <v>3</v>
      </c>
      <c r="D185" s="78" t="s">
        <v>425</v>
      </c>
      <c r="E185" s="78" t="s">
        <v>426</v>
      </c>
      <c r="F185" s="78" t="s">
        <v>358</v>
      </c>
      <c r="G185" s="78" t="s">
        <v>359</v>
      </c>
      <c r="H185" s="78" t="s">
        <v>429</v>
      </c>
      <c r="I185" s="78" t="s">
        <v>430</v>
      </c>
      <c r="J185" s="78" t="s">
        <v>38</v>
      </c>
      <c r="K185" s="78" t="s">
        <v>85</v>
      </c>
      <c r="L185" s="78" t="s">
        <v>422</v>
      </c>
      <c r="M185" s="78" t="s">
        <v>40</v>
      </c>
      <c r="N185" s="80">
        <v>166600000</v>
      </c>
      <c r="O185" s="80"/>
      <c r="P185" s="80"/>
      <c r="Q185" s="80">
        <v>0</v>
      </c>
      <c r="R185" s="80">
        <v>0</v>
      </c>
      <c r="S185" s="80">
        <v>166600000</v>
      </c>
      <c r="T185" s="80">
        <v>164266652</v>
      </c>
      <c r="U185" s="80">
        <v>2333348</v>
      </c>
      <c r="V185" s="80">
        <v>0</v>
      </c>
      <c r="W185" s="80">
        <v>0</v>
      </c>
      <c r="X185" s="80">
        <v>0</v>
      </c>
      <c r="Y185" s="80">
        <v>0</v>
      </c>
      <c r="Z185" s="80">
        <v>0</v>
      </c>
      <c r="AA185" s="80">
        <v>0</v>
      </c>
      <c r="AB185" t="str">
        <f t="shared" si="7"/>
        <v>C-0301-1000-22</v>
      </c>
      <c r="AC185" t="str">
        <f t="shared" si="8"/>
        <v>C</v>
      </c>
    </row>
    <row r="186" spans="1:29" ht="21" customHeight="1">
      <c r="A186" s="78" t="s">
        <v>708</v>
      </c>
      <c r="B186" s="79">
        <v>2024</v>
      </c>
      <c r="C186" s="78" t="s">
        <v>3</v>
      </c>
      <c r="D186" s="78" t="s">
        <v>425</v>
      </c>
      <c r="E186" s="78" t="s">
        <v>426</v>
      </c>
      <c r="F186" s="78" t="s">
        <v>374</v>
      </c>
      <c r="G186" s="78" t="s">
        <v>375</v>
      </c>
      <c r="H186" s="78" t="s">
        <v>431</v>
      </c>
      <c r="I186" s="78" t="s">
        <v>432</v>
      </c>
      <c r="J186" s="78" t="s">
        <v>38</v>
      </c>
      <c r="K186" s="78" t="s">
        <v>85</v>
      </c>
      <c r="L186" s="78" t="s">
        <v>422</v>
      </c>
      <c r="M186" s="78" t="s">
        <v>40</v>
      </c>
      <c r="N186" s="80">
        <v>1752732456</v>
      </c>
      <c r="O186" s="80"/>
      <c r="P186" s="80"/>
      <c r="Q186" s="80">
        <v>0</v>
      </c>
      <c r="R186" s="80">
        <v>0</v>
      </c>
      <c r="S186" s="80">
        <v>1752732456</v>
      </c>
      <c r="T186" s="80">
        <v>1459332456</v>
      </c>
      <c r="U186" s="80">
        <v>293400000</v>
      </c>
      <c r="V186" s="80">
        <v>698699123</v>
      </c>
      <c r="W186" s="80">
        <v>8470000</v>
      </c>
      <c r="X186" s="80">
        <v>8470000</v>
      </c>
      <c r="Y186" s="80">
        <v>8470000</v>
      </c>
      <c r="Z186" s="80">
        <v>0</v>
      </c>
      <c r="AA186" s="80">
        <v>0</v>
      </c>
      <c r="AB186" t="str">
        <f t="shared" si="7"/>
        <v>C-0301-1000-22</v>
      </c>
      <c r="AC186" t="str">
        <f t="shared" si="8"/>
        <v>C</v>
      </c>
    </row>
    <row r="187" spans="1:29" ht="21" customHeight="1">
      <c r="A187" s="78" t="s">
        <v>708</v>
      </c>
      <c r="B187" s="79">
        <v>2024</v>
      </c>
      <c r="C187" s="78" t="s">
        <v>3</v>
      </c>
      <c r="D187" s="78" t="s">
        <v>425</v>
      </c>
      <c r="E187" s="78" t="s">
        <v>426</v>
      </c>
      <c r="F187" s="78" t="s">
        <v>374</v>
      </c>
      <c r="G187" s="78" t="s">
        <v>375</v>
      </c>
      <c r="H187" s="78" t="s">
        <v>433</v>
      </c>
      <c r="I187" s="78" t="s">
        <v>434</v>
      </c>
      <c r="J187" s="78" t="s">
        <v>38</v>
      </c>
      <c r="K187" s="78" t="s">
        <v>85</v>
      </c>
      <c r="L187" s="78" t="s">
        <v>422</v>
      </c>
      <c r="M187" s="78" t="s">
        <v>40</v>
      </c>
      <c r="N187" s="80">
        <v>700000000</v>
      </c>
      <c r="O187" s="80"/>
      <c r="P187" s="80"/>
      <c r="Q187" s="80">
        <v>0</v>
      </c>
      <c r="R187" s="80">
        <v>0</v>
      </c>
      <c r="S187" s="80">
        <v>700000000</v>
      </c>
      <c r="T187" s="80">
        <v>0</v>
      </c>
      <c r="U187" s="80">
        <v>700000000</v>
      </c>
      <c r="V187" s="80"/>
      <c r="W187" s="80">
        <v>0</v>
      </c>
      <c r="X187" s="80">
        <v>0</v>
      </c>
      <c r="Y187" s="80">
        <v>0</v>
      </c>
      <c r="Z187" s="80">
        <v>0</v>
      </c>
      <c r="AA187" s="80">
        <v>0</v>
      </c>
      <c r="AB187" t="str">
        <f t="shared" si="7"/>
        <v>C-0301-1000-22</v>
      </c>
      <c r="AC187" t="str">
        <f t="shared" si="8"/>
        <v>C</v>
      </c>
    </row>
    <row r="188" spans="1:29" ht="21" customHeight="1">
      <c r="A188" s="78" t="s">
        <v>708</v>
      </c>
      <c r="B188" s="79">
        <v>2024</v>
      </c>
      <c r="C188" s="78" t="s">
        <v>3</v>
      </c>
      <c r="D188" s="78" t="s">
        <v>425</v>
      </c>
      <c r="E188" s="78" t="s">
        <v>426</v>
      </c>
      <c r="F188" s="78" t="s">
        <v>374</v>
      </c>
      <c r="G188" s="78" t="s">
        <v>375</v>
      </c>
      <c r="H188" s="78" t="s">
        <v>435</v>
      </c>
      <c r="I188" s="78" t="s">
        <v>436</v>
      </c>
      <c r="J188" s="78" t="s">
        <v>38</v>
      </c>
      <c r="K188" s="78" t="s">
        <v>85</v>
      </c>
      <c r="L188" s="78" t="s">
        <v>422</v>
      </c>
      <c r="M188" s="78" t="s">
        <v>40</v>
      </c>
      <c r="N188" s="80">
        <v>12003003335</v>
      </c>
      <c r="O188" s="80"/>
      <c r="P188" s="80"/>
      <c r="Q188" s="80">
        <v>0</v>
      </c>
      <c r="R188" s="80">
        <v>0</v>
      </c>
      <c r="S188" s="80">
        <v>12003003335</v>
      </c>
      <c r="T188" s="80">
        <v>1585203335</v>
      </c>
      <c r="U188" s="80">
        <v>10417800000</v>
      </c>
      <c r="V188" s="80">
        <v>745830000</v>
      </c>
      <c r="W188" s="80">
        <v>16396677</v>
      </c>
      <c r="X188" s="80">
        <v>15590010</v>
      </c>
      <c r="Y188" s="80">
        <v>15590010</v>
      </c>
      <c r="Z188" s="80">
        <v>0</v>
      </c>
      <c r="AA188" s="80">
        <v>0</v>
      </c>
      <c r="AB188" t="str">
        <f t="shared" si="7"/>
        <v>C-0301-1000-22</v>
      </c>
      <c r="AC188" t="str">
        <f t="shared" si="8"/>
        <v>C</v>
      </c>
    </row>
    <row r="189" spans="1:29" ht="21" customHeight="1">
      <c r="A189" s="78" t="s">
        <v>708</v>
      </c>
      <c r="B189" s="79">
        <v>2024</v>
      </c>
      <c r="C189" s="78" t="s">
        <v>3</v>
      </c>
      <c r="D189" s="78" t="s">
        <v>425</v>
      </c>
      <c r="E189" s="78" t="s">
        <v>426</v>
      </c>
      <c r="F189" s="78" t="s">
        <v>374</v>
      </c>
      <c r="G189" s="78" t="s">
        <v>375</v>
      </c>
      <c r="H189" s="78" t="s">
        <v>437</v>
      </c>
      <c r="I189" s="78" t="s">
        <v>438</v>
      </c>
      <c r="J189" s="78" t="s">
        <v>38</v>
      </c>
      <c r="K189" s="78" t="s">
        <v>85</v>
      </c>
      <c r="L189" s="78" t="s">
        <v>422</v>
      </c>
      <c r="M189" s="78" t="s">
        <v>40</v>
      </c>
      <c r="N189" s="80">
        <v>1367973334</v>
      </c>
      <c r="O189" s="80"/>
      <c r="P189" s="80"/>
      <c r="Q189" s="80">
        <v>0</v>
      </c>
      <c r="R189" s="80">
        <v>0</v>
      </c>
      <c r="S189" s="80">
        <v>1367973334</v>
      </c>
      <c r="T189" s="80">
        <v>967973334</v>
      </c>
      <c r="U189" s="80">
        <v>400000000</v>
      </c>
      <c r="V189" s="80">
        <v>632740000</v>
      </c>
      <c r="W189" s="80">
        <v>49400014</v>
      </c>
      <c r="X189" s="80">
        <v>37933340</v>
      </c>
      <c r="Y189" s="80">
        <v>37933340</v>
      </c>
      <c r="Z189" s="80">
        <v>0</v>
      </c>
      <c r="AA189" s="80">
        <v>0</v>
      </c>
      <c r="AB189" t="str">
        <f t="shared" si="7"/>
        <v>C-0301-1000-22</v>
      </c>
      <c r="AC189" t="str">
        <f t="shared" si="8"/>
        <v>C</v>
      </c>
    </row>
    <row r="190" spans="1:29" ht="21" customHeight="1">
      <c r="A190" s="78" t="s">
        <v>708</v>
      </c>
      <c r="B190" s="79">
        <v>2024</v>
      </c>
      <c r="C190" s="78" t="s">
        <v>3</v>
      </c>
      <c r="D190" s="78" t="s">
        <v>425</v>
      </c>
      <c r="E190" s="78" t="s">
        <v>426</v>
      </c>
      <c r="F190" s="78" t="s">
        <v>374</v>
      </c>
      <c r="G190" s="78" t="s">
        <v>375</v>
      </c>
      <c r="H190" s="78" t="s">
        <v>427</v>
      </c>
      <c r="I190" s="78" t="s">
        <v>428</v>
      </c>
      <c r="J190" s="78" t="s">
        <v>38</v>
      </c>
      <c r="K190" s="78" t="s">
        <v>85</v>
      </c>
      <c r="L190" s="78" t="s">
        <v>422</v>
      </c>
      <c r="M190" s="78" t="s">
        <v>40</v>
      </c>
      <c r="N190" s="80">
        <v>1635719733</v>
      </c>
      <c r="O190" s="80"/>
      <c r="P190" s="80"/>
      <c r="Q190" s="80">
        <v>0</v>
      </c>
      <c r="R190" s="80">
        <v>0</v>
      </c>
      <c r="S190" s="80">
        <v>1635719733</v>
      </c>
      <c r="T190" s="80">
        <v>918653067</v>
      </c>
      <c r="U190" s="80">
        <v>717066666</v>
      </c>
      <c r="V190" s="80">
        <v>222770000</v>
      </c>
      <c r="W190" s="80">
        <v>12695320</v>
      </c>
      <c r="X190" s="80">
        <v>12695320</v>
      </c>
      <c r="Y190" s="80">
        <v>12695320</v>
      </c>
      <c r="Z190" s="80">
        <v>0</v>
      </c>
      <c r="AA190" s="80">
        <v>0</v>
      </c>
      <c r="AB190" t="str">
        <f t="shared" si="7"/>
        <v>C-0301-1000-22</v>
      </c>
      <c r="AC190" t="str">
        <f t="shared" si="8"/>
        <v>C</v>
      </c>
    </row>
    <row r="191" spans="1:29" ht="21" customHeight="1">
      <c r="A191" s="78" t="s">
        <v>708</v>
      </c>
      <c r="B191" s="79">
        <v>2024</v>
      </c>
      <c r="C191" s="78" t="s">
        <v>3</v>
      </c>
      <c r="D191" s="78" t="s">
        <v>425</v>
      </c>
      <c r="E191" s="78" t="s">
        <v>426</v>
      </c>
      <c r="F191" s="78" t="s">
        <v>374</v>
      </c>
      <c r="G191" s="78" t="s">
        <v>375</v>
      </c>
      <c r="H191" s="78" t="s">
        <v>429</v>
      </c>
      <c r="I191" s="78" t="s">
        <v>430</v>
      </c>
      <c r="J191" s="78" t="s">
        <v>38</v>
      </c>
      <c r="K191" s="78" t="s">
        <v>85</v>
      </c>
      <c r="L191" s="78" t="s">
        <v>422</v>
      </c>
      <c r="M191" s="78" t="s">
        <v>40</v>
      </c>
      <c r="N191" s="80">
        <v>1993076142</v>
      </c>
      <c r="O191" s="80"/>
      <c r="P191" s="80"/>
      <c r="Q191" s="80">
        <v>0</v>
      </c>
      <c r="R191" s="80">
        <v>0</v>
      </c>
      <c r="S191" s="80">
        <v>1993076142</v>
      </c>
      <c r="T191" s="80">
        <v>1993076142</v>
      </c>
      <c r="U191" s="80">
        <v>0</v>
      </c>
      <c r="V191" s="80">
        <v>1438898346</v>
      </c>
      <c r="W191" s="80">
        <v>87974395</v>
      </c>
      <c r="X191" s="80">
        <v>70662289</v>
      </c>
      <c r="Y191" s="80">
        <v>70662289</v>
      </c>
      <c r="Z191" s="80">
        <v>0</v>
      </c>
      <c r="AA191" s="80">
        <v>0</v>
      </c>
      <c r="AB191" t="str">
        <f t="shared" si="7"/>
        <v>C-0301-1000-22</v>
      </c>
      <c r="AC191" t="str">
        <f t="shared" si="8"/>
        <v>C</v>
      </c>
    </row>
    <row r="192" spans="1:29" ht="21" customHeight="1">
      <c r="A192" s="78" t="s">
        <v>708</v>
      </c>
      <c r="B192" s="79">
        <v>2024</v>
      </c>
      <c r="C192" s="78" t="s">
        <v>3</v>
      </c>
      <c r="D192" s="78" t="s">
        <v>439</v>
      </c>
      <c r="E192" s="78" t="s">
        <v>440</v>
      </c>
      <c r="F192" s="78" t="s">
        <v>206</v>
      </c>
      <c r="G192" s="78" t="s">
        <v>207</v>
      </c>
      <c r="H192" s="78" t="s">
        <v>441</v>
      </c>
      <c r="I192" s="78" t="s">
        <v>442</v>
      </c>
      <c r="J192" s="78" t="s">
        <v>38</v>
      </c>
      <c r="K192" s="78" t="s">
        <v>85</v>
      </c>
      <c r="L192" s="78" t="s">
        <v>422</v>
      </c>
      <c r="M192" s="78" t="s">
        <v>40</v>
      </c>
      <c r="N192" s="80">
        <v>5395919270</v>
      </c>
      <c r="O192" s="80"/>
      <c r="P192" s="80"/>
      <c r="Q192" s="80">
        <v>0</v>
      </c>
      <c r="R192" s="80">
        <v>0</v>
      </c>
      <c r="S192" s="80">
        <v>5395919270</v>
      </c>
      <c r="T192" s="80">
        <v>5395919270</v>
      </c>
      <c r="U192" s="80">
        <v>0</v>
      </c>
      <c r="V192" s="80">
        <v>5395919270</v>
      </c>
      <c r="W192" s="80">
        <v>0</v>
      </c>
      <c r="X192" s="80">
        <v>0</v>
      </c>
      <c r="Y192" s="80">
        <v>0</v>
      </c>
      <c r="Z192" s="80">
        <v>0</v>
      </c>
      <c r="AA192" s="80">
        <v>0</v>
      </c>
      <c r="AB192" t="str">
        <f t="shared" si="7"/>
        <v>C-0301-1000-29</v>
      </c>
      <c r="AC192" t="str">
        <f t="shared" si="8"/>
        <v>C</v>
      </c>
    </row>
    <row r="193" spans="1:29" ht="21" customHeight="1">
      <c r="A193" s="78" t="s">
        <v>708</v>
      </c>
      <c r="B193" s="79">
        <v>2024</v>
      </c>
      <c r="C193" s="78" t="s">
        <v>3</v>
      </c>
      <c r="D193" s="78" t="s">
        <v>439</v>
      </c>
      <c r="E193" s="78" t="s">
        <v>440</v>
      </c>
      <c r="F193" s="78" t="s">
        <v>206</v>
      </c>
      <c r="G193" s="78" t="s">
        <v>207</v>
      </c>
      <c r="H193" s="78" t="s">
        <v>443</v>
      </c>
      <c r="I193" s="78" t="s">
        <v>444</v>
      </c>
      <c r="J193" s="78" t="s">
        <v>38</v>
      </c>
      <c r="K193" s="78" t="s">
        <v>85</v>
      </c>
      <c r="L193" s="78" t="s">
        <v>422</v>
      </c>
      <c r="M193" s="78" t="s">
        <v>40</v>
      </c>
      <c r="N193" s="80">
        <v>3816561547</v>
      </c>
      <c r="O193" s="80">
        <v>451144085</v>
      </c>
      <c r="P193" s="80">
        <v>0</v>
      </c>
      <c r="Q193" s="80">
        <v>0</v>
      </c>
      <c r="R193" s="80">
        <v>0</v>
      </c>
      <c r="S193" s="80">
        <v>4267705632</v>
      </c>
      <c r="T193" s="80">
        <v>898186415</v>
      </c>
      <c r="U193" s="80">
        <v>3369519217</v>
      </c>
      <c r="V193" s="80">
        <v>898186415</v>
      </c>
      <c r="W193" s="80">
        <v>0</v>
      </c>
      <c r="X193" s="80">
        <v>0</v>
      </c>
      <c r="Y193" s="80">
        <v>0</v>
      </c>
      <c r="Z193" s="80">
        <v>0</v>
      </c>
      <c r="AA193" s="80">
        <v>0</v>
      </c>
      <c r="AB193" t="str">
        <f t="shared" si="7"/>
        <v>C-0301-1000-29</v>
      </c>
      <c r="AC193" t="str">
        <f t="shared" si="8"/>
        <v>C</v>
      </c>
    </row>
    <row r="194" spans="1:29" ht="21" customHeight="1">
      <c r="A194" s="78" t="s">
        <v>708</v>
      </c>
      <c r="B194" s="79">
        <v>2024</v>
      </c>
      <c r="C194" s="78" t="s">
        <v>3</v>
      </c>
      <c r="D194" s="78" t="s">
        <v>439</v>
      </c>
      <c r="E194" s="78" t="s">
        <v>440</v>
      </c>
      <c r="F194" s="78" t="s">
        <v>206</v>
      </c>
      <c r="G194" s="78" t="s">
        <v>207</v>
      </c>
      <c r="H194" s="78" t="s">
        <v>445</v>
      </c>
      <c r="I194" s="78" t="s">
        <v>446</v>
      </c>
      <c r="J194" s="78" t="s">
        <v>38</v>
      </c>
      <c r="K194" s="78" t="s">
        <v>85</v>
      </c>
      <c r="L194" s="78" t="s">
        <v>422</v>
      </c>
      <c r="M194" s="78" t="s">
        <v>40</v>
      </c>
      <c r="N194" s="80">
        <v>2845195951</v>
      </c>
      <c r="O194" s="80">
        <v>0</v>
      </c>
      <c r="P194" s="80">
        <v>134262616</v>
      </c>
      <c r="Q194" s="80">
        <v>0</v>
      </c>
      <c r="R194" s="80">
        <v>0</v>
      </c>
      <c r="S194" s="80">
        <v>2710933335</v>
      </c>
      <c r="T194" s="80">
        <v>0</v>
      </c>
      <c r="U194" s="80">
        <v>2710933335</v>
      </c>
      <c r="V194" s="80"/>
      <c r="W194" s="80">
        <v>0</v>
      </c>
      <c r="X194" s="80">
        <v>0</v>
      </c>
      <c r="Y194" s="80">
        <v>0</v>
      </c>
      <c r="Z194" s="80">
        <v>0</v>
      </c>
      <c r="AA194" s="80">
        <v>0</v>
      </c>
      <c r="AB194" t="str">
        <f t="shared" si="7"/>
        <v>C-0301-1000-29</v>
      </c>
      <c r="AC194" t="str">
        <f t="shared" si="8"/>
        <v>C</v>
      </c>
    </row>
    <row r="195" spans="1:29" ht="21" customHeight="1">
      <c r="A195" s="78" t="s">
        <v>708</v>
      </c>
      <c r="B195" s="79">
        <v>2024</v>
      </c>
      <c r="C195" s="78" t="s">
        <v>3</v>
      </c>
      <c r="D195" s="78" t="s">
        <v>439</v>
      </c>
      <c r="E195" s="78" t="s">
        <v>440</v>
      </c>
      <c r="F195" s="78" t="s">
        <v>206</v>
      </c>
      <c r="G195" s="78" t="s">
        <v>207</v>
      </c>
      <c r="H195" s="78" t="s">
        <v>447</v>
      </c>
      <c r="I195" s="78" t="s">
        <v>448</v>
      </c>
      <c r="J195" s="78" t="s">
        <v>38</v>
      </c>
      <c r="K195" s="78" t="s">
        <v>85</v>
      </c>
      <c r="L195" s="78" t="s">
        <v>422</v>
      </c>
      <c r="M195" s="78" t="s">
        <v>40</v>
      </c>
      <c r="N195" s="80">
        <v>97905488</v>
      </c>
      <c r="O195" s="80"/>
      <c r="P195" s="80"/>
      <c r="Q195" s="80">
        <v>0</v>
      </c>
      <c r="R195" s="80">
        <v>0</v>
      </c>
      <c r="S195" s="80">
        <v>97905488</v>
      </c>
      <c r="T195" s="80">
        <v>97905488</v>
      </c>
      <c r="U195" s="80">
        <v>0</v>
      </c>
      <c r="V195" s="80">
        <v>97905488</v>
      </c>
      <c r="W195" s="80">
        <v>0</v>
      </c>
      <c r="X195" s="80">
        <v>0</v>
      </c>
      <c r="Y195" s="80">
        <v>0</v>
      </c>
      <c r="Z195" s="80">
        <v>0</v>
      </c>
      <c r="AA195" s="80">
        <v>0</v>
      </c>
      <c r="AB195" t="str">
        <f t="shared" si="7"/>
        <v>C-0301-1000-29</v>
      </c>
      <c r="AC195" t="str">
        <f t="shared" si="8"/>
        <v>C</v>
      </c>
    </row>
    <row r="196" spans="1:29" ht="21" customHeight="1">
      <c r="A196" s="78" t="s">
        <v>708</v>
      </c>
      <c r="B196" s="79">
        <v>2024</v>
      </c>
      <c r="C196" s="78" t="s">
        <v>3</v>
      </c>
      <c r="D196" s="78" t="s">
        <v>439</v>
      </c>
      <c r="E196" s="78" t="s">
        <v>440</v>
      </c>
      <c r="F196" s="78" t="s">
        <v>206</v>
      </c>
      <c r="G196" s="78" t="s">
        <v>207</v>
      </c>
      <c r="H196" s="78" t="s">
        <v>449</v>
      </c>
      <c r="I196" s="78" t="s">
        <v>446</v>
      </c>
      <c r="J196" s="78" t="s">
        <v>38</v>
      </c>
      <c r="K196" s="78" t="s">
        <v>85</v>
      </c>
      <c r="L196" s="78" t="s">
        <v>422</v>
      </c>
      <c r="M196" s="78" t="s">
        <v>40</v>
      </c>
      <c r="N196" s="80">
        <v>271224800</v>
      </c>
      <c r="O196" s="80"/>
      <c r="P196" s="80"/>
      <c r="Q196" s="80">
        <v>0</v>
      </c>
      <c r="R196" s="80">
        <v>0</v>
      </c>
      <c r="S196" s="80">
        <v>271224800</v>
      </c>
      <c r="T196" s="80">
        <v>271224800</v>
      </c>
      <c r="U196" s="80">
        <v>0</v>
      </c>
      <c r="V196" s="80">
        <v>271224800</v>
      </c>
      <c r="W196" s="80">
        <v>0</v>
      </c>
      <c r="X196" s="80">
        <v>0</v>
      </c>
      <c r="Y196" s="80">
        <v>0</v>
      </c>
      <c r="Z196" s="80">
        <v>0</v>
      </c>
      <c r="AA196" s="80">
        <v>0</v>
      </c>
      <c r="AB196" t="str">
        <f t="shared" si="7"/>
        <v>C-0301-1000-29</v>
      </c>
      <c r="AC196" t="str">
        <f t="shared" si="8"/>
        <v>C</v>
      </c>
    </row>
    <row r="197" spans="1:29" ht="21" customHeight="1">
      <c r="A197" s="78" t="s">
        <v>708</v>
      </c>
      <c r="B197" s="79">
        <v>2024</v>
      </c>
      <c r="C197" s="78" t="s">
        <v>3</v>
      </c>
      <c r="D197" s="78" t="s">
        <v>439</v>
      </c>
      <c r="E197" s="78" t="s">
        <v>440</v>
      </c>
      <c r="F197" s="78" t="s">
        <v>206</v>
      </c>
      <c r="G197" s="78" t="s">
        <v>207</v>
      </c>
      <c r="H197" s="78" t="s">
        <v>450</v>
      </c>
      <c r="I197" s="78" t="s">
        <v>442</v>
      </c>
      <c r="J197" s="78" t="s">
        <v>38</v>
      </c>
      <c r="K197" s="78" t="s">
        <v>85</v>
      </c>
      <c r="L197" s="78" t="s">
        <v>422</v>
      </c>
      <c r="M197" s="78" t="s">
        <v>40</v>
      </c>
      <c r="N197" s="80">
        <v>459937270</v>
      </c>
      <c r="O197" s="80">
        <v>0</v>
      </c>
      <c r="P197" s="80">
        <v>1128766</v>
      </c>
      <c r="Q197" s="80">
        <v>0</v>
      </c>
      <c r="R197" s="80">
        <v>0</v>
      </c>
      <c r="S197" s="80">
        <v>458808504</v>
      </c>
      <c r="T197" s="80">
        <v>458808504</v>
      </c>
      <c r="U197" s="80">
        <v>0</v>
      </c>
      <c r="V197" s="80">
        <v>270899178</v>
      </c>
      <c r="W197" s="80">
        <v>39249600</v>
      </c>
      <c r="X197" s="80">
        <v>39249600</v>
      </c>
      <c r="Y197" s="80">
        <v>39249600</v>
      </c>
      <c r="Z197" s="80">
        <v>0</v>
      </c>
      <c r="AA197" s="80">
        <v>0</v>
      </c>
      <c r="AB197" t="str">
        <f t="shared" si="7"/>
        <v>C-0301-1000-29</v>
      </c>
      <c r="AC197" t="str">
        <f t="shared" si="8"/>
        <v>C</v>
      </c>
    </row>
    <row r="198" spans="1:29" ht="21" customHeight="1">
      <c r="A198" s="78" t="s">
        <v>708</v>
      </c>
      <c r="B198" s="79">
        <v>2024</v>
      </c>
      <c r="C198" s="78" t="s">
        <v>3</v>
      </c>
      <c r="D198" s="78" t="s">
        <v>439</v>
      </c>
      <c r="E198" s="78" t="s">
        <v>440</v>
      </c>
      <c r="F198" s="78" t="s">
        <v>206</v>
      </c>
      <c r="G198" s="78" t="s">
        <v>207</v>
      </c>
      <c r="H198" s="78" t="s">
        <v>451</v>
      </c>
      <c r="I198" s="78" t="s">
        <v>444</v>
      </c>
      <c r="J198" s="78" t="s">
        <v>38</v>
      </c>
      <c r="K198" s="78" t="s">
        <v>85</v>
      </c>
      <c r="L198" s="78" t="s">
        <v>422</v>
      </c>
      <c r="M198" s="78" t="s">
        <v>40</v>
      </c>
      <c r="N198" s="80">
        <v>246328500</v>
      </c>
      <c r="O198" s="80">
        <v>0</v>
      </c>
      <c r="P198" s="80">
        <v>136662362</v>
      </c>
      <c r="Q198" s="80">
        <v>0</v>
      </c>
      <c r="R198" s="80">
        <v>0</v>
      </c>
      <c r="S198" s="80">
        <v>109666138</v>
      </c>
      <c r="T198" s="80">
        <v>0</v>
      </c>
      <c r="U198" s="80">
        <v>109666138</v>
      </c>
      <c r="V198" s="80"/>
      <c r="W198" s="80">
        <v>0</v>
      </c>
      <c r="X198" s="80">
        <v>0</v>
      </c>
      <c r="Y198" s="80">
        <v>0</v>
      </c>
      <c r="Z198" s="80">
        <v>0</v>
      </c>
      <c r="AA198" s="80">
        <v>0</v>
      </c>
      <c r="AB198" t="str">
        <f t="shared" ref="AB198:AB244" si="9">LEFT(H198,14)</f>
        <v>C-0301-1000-29</v>
      </c>
      <c r="AC198" t="str">
        <f t="shared" ref="AC198:AC244" si="10">LEFT(H198,1)</f>
        <v>C</v>
      </c>
    </row>
    <row r="199" spans="1:29" ht="21" customHeight="1">
      <c r="A199" s="78" t="s">
        <v>708</v>
      </c>
      <c r="B199" s="79">
        <v>2024</v>
      </c>
      <c r="C199" s="78" t="s">
        <v>3</v>
      </c>
      <c r="D199" s="78" t="s">
        <v>439</v>
      </c>
      <c r="E199" s="78" t="s">
        <v>440</v>
      </c>
      <c r="F199" s="78" t="s">
        <v>206</v>
      </c>
      <c r="G199" s="78" t="s">
        <v>207</v>
      </c>
      <c r="H199" s="78" t="s">
        <v>452</v>
      </c>
      <c r="I199" s="78" t="s">
        <v>446</v>
      </c>
      <c r="J199" s="78" t="s">
        <v>38</v>
      </c>
      <c r="K199" s="78" t="s">
        <v>85</v>
      </c>
      <c r="L199" s="78" t="s">
        <v>422</v>
      </c>
      <c r="M199" s="78" t="s">
        <v>40</v>
      </c>
      <c r="N199" s="80">
        <v>849946381</v>
      </c>
      <c r="O199" s="80">
        <v>0</v>
      </c>
      <c r="P199" s="80">
        <v>188620551</v>
      </c>
      <c r="Q199" s="80">
        <v>0</v>
      </c>
      <c r="R199" s="80">
        <v>0</v>
      </c>
      <c r="S199" s="80">
        <v>661325830</v>
      </c>
      <c r="T199" s="80">
        <v>661325830</v>
      </c>
      <c r="U199" s="80">
        <v>0</v>
      </c>
      <c r="V199" s="80">
        <v>661325830</v>
      </c>
      <c r="W199" s="80">
        <v>96190712</v>
      </c>
      <c r="X199" s="80">
        <v>84981712</v>
      </c>
      <c r="Y199" s="80">
        <v>84981712</v>
      </c>
      <c r="Z199" s="80">
        <v>0</v>
      </c>
      <c r="AA199" s="80">
        <v>0</v>
      </c>
      <c r="AB199" t="str">
        <f t="shared" si="9"/>
        <v>C-0301-1000-29</v>
      </c>
      <c r="AC199" t="str">
        <f t="shared" si="10"/>
        <v>C</v>
      </c>
    </row>
    <row r="200" spans="1:29" ht="21" customHeight="1">
      <c r="A200" s="78" t="s">
        <v>708</v>
      </c>
      <c r="B200" s="79">
        <v>2024</v>
      </c>
      <c r="C200" s="78" t="s">
        <v>3</v>
      </c>
      <c r="D200" s="78" t="s">
        <v>439</v>
      </c>
      <c r="E200" s="78" t="s">
        <v>440</v>
      </c>
      <c r="F200" s="78" t="s">
        <v>206</v>
      </c>
      <c r="G200" s="78" t="s">
        <v>207</v>
      </c>
      <c r="H200" s="78" t="s">
        <v>453</v>
      </c>
      <c r="I200" s="78" t="s">
        <v>454</v>
      </c>
      <c r="J200" s="78" t="s">
        <v>38</v>
      </c>
      <c r="K200" s="78" t="s">
        <v>85</v>
      </c>
      <c r="L200" s="78" t="s">
        <v>422</v>
      </c>
      <c r="M200" s="78" t="s">
        <v>40</v>
      </c>
      <c r="N200" s="80">
        <v>1032135241</v>
      </c>
      <c r="O200" s="80">
        <v>30704085</v>
      </c>
      <c r="P200" s="80">
        <v>0</v>
      </c>
      <c r="Q200" s="80">
        <v>0</v>
      </c>
      <c r="R200" s="80">
        <v>0</v>
      </c>
      <c r="S200" s="80">
        <v>1062839326</v>
      </c>
      <c r="T200" s="80">
        <v>416589326</v>
      </c>
      <c r="U200" s="80">
        <v>646250000</v>
      </c>
      <c r="V200" s="80">
        <v>370721661</v>
      </c>
      <c r="W200" s="80">
        <v>52405671</v>
      </c>
      <c r="X200" s="80">
        <v>35605671</v>
      </c>
      <c r="Y200" s="80">
        <v>34928671</v>
      </c>
      <c r="Z200" s="80">
        <v>0</v>
      </c>
      <c r="AA200" s="80">
        <v>0</v>
      </c>
      <c r="AB200" t="str">
        <f t="shared" si="9"/>
        <v>C-0301-1000-29</v>
      </c>
      <c r="AC200" t="str">
        <f t="shared" si="10"/>
        <v>C</v>
      </c>
    </row>
    <row r="201" spans="1:29" ht="21" customHeight="1">
      <c r="A201" s="78" t="s">
        <v>708</v>
      </c>
      <c r="B201" s="79">
        <v>2024</v>
      </c>
      <c r="C201" s="78" t="s">
        <v>3</v>
      </c>
      <c r="D201" s="78" t="s">
        <v>439</v>
      </c>
      <c r="E201" s="78" t="s">
        <v>440</v>
      </c>
      <c r="F201" s="78" t="s">
        <v>206</v>
      </c>
      <c r="G201" s="78" t="s">
        <v>207</v>
      </c>
      <c r="H201" s="78" t="s">
        <v>455</v>
      </c>
      <c r="I201" s="78" t="s">
        <v>448</v>
      </c>
      <c r="J201" s="78" t="s">
        <v>38</v>
      </c>
      <c r="K201" s="78" t="s">
        <v>85</v>
      </c>
      <c r="L201" s="78" t="s">
        <v>422</v>
      </c>
      <c r="M201" s="78" t="s">
        <v>40</v>
      </c>
      <c r="N201" s="80">
        <v>212281557</v>
      </c>
      <c r="O201" s="80">
        <v>3297064</v>
      </c>
      <c r="P201" s="80">
        <v>19501557</v>
      </c>
      <c r="Q201" s="80">
        <v>0</v>
      </c>
      <c r="R201" s="80">
        <v>0</v>
      </c>
      <c r="S201" s="80">
        <v>196077064</v>
      </c>
      <c r="T201" s="80">
        <v>192780000</v>
      </c>
      <c r="U201" s="80">
        <v>3297064</v>
      </c>
      <c r="V201" s="80">
        <v>190620000</v>
      </c>
      <c r="W201" s="80">
        <v>28620000</v>
      </c>
      <c r="X201" s="80">
        <v>28620000</v>
      </c>
      <c r="Y201" s="80">
        <v>28620000</v>
      </c>
      <c r="Z201" s="80">
        <v>0</v>
      </c>
      <c r="AA201" s="80">
        <v>0</v>
      </c>
      <c r="AB201" t="str">
        <f t="shared" si="9"/>
        <v>C-0301-1000-29</v>
      </c>
      <c r="AC201" t="str">
        <f t="shared" si="10"/>
        <v>C</v>
      </c>
    </row>
    <row r="202" spans="1:29" ht="21" customHeight="1">
      <c r="A202" s="78" t="s">
        <v>708</v>
      </c>
      <c r="B202" s="79">
        <v>2024</v>
      </c>
      <c r="C202" s="78" t="s">
        <v>3</v>
      </c>
      <c r="D202" s="78" t="s">
        <v>439</v>
      </c>
      <c r="E202" s="78" t="s">
        <v>440</v>
      </c>
      <c r="F202" s="78" t="s">
        <v>274</v>
      </c>
      <c r="G202" s="78" t="s">
        <v>275</v>
      </c>
      <c r="H202" s="78" t="s">
        <v>455</v>
      </c>
      <c r="I202" s="78" t="s">
        <v>448</v>
      </c>
      <c r="J202" s="78" t="s">
        <v>38</v>
      </c>
      <c r="K202" s="78" t="s">
        <v>85</v>
      </c>
      <c r="L202" s="78" t="s">
        <v>422</v>
      </c>
      <c r="M202" s="78" t="s">
        <v>40</v>
      </c>
      <c r="N202" s="80">
        <v>295935500</v>
      </c>
      <c r="O202" s="80">
        <v>0</v>
      </c>
      <c r="P202" s="80">
        <v>4969382</v>
      </c>
      <c r="Q202" s="80">
        <v>0</v>
      </c>
      <c r="R202" s="80">
        <v>0</v>
      </c>
      <c r="S202" s="80">
        <v>290966118</v>
      </c>
      <c r="T202" s="80">
        <v>290966118</v>
      </c>
      <c r="U202" s="80">
        <v>0</v>
      </c>
      <c r="V202" s="80">
        <v>290966118</v>
      </c>
      <c r="W202" s="80">
        <v>43686118</v>
      </c>
      <c r="X202" s="80">
        <v>43686118</v>
      </c>
      <c r="Y202" s="80">
        <v>43686118</v>
      </c>
      <c r="Z202" s="80">
        <v>0</v>
      </c>
      <c r="AA202" s="80">
        <v>0</v>
      </c>
      <c r="AB202" t="str">
        <f t="shared" si="9"/>
        <v>C-0301-1000-29</v>
      </c>
      <c r="AC202" t="str">
        <f t="shared" si="10"/>
        <v>C</v>
      </c>
    </row>
    <row r="203" spans="1:29" ht="21" customHeight="1">
      <c r="A203" s="78" t="s">
        <v>708</v>
      </c>
      <c r="B203" s="79">
        <v>2024</v>
      </c>
      <c r="C203" s="78" t="s">
        <v>3</v>
      </c>
      <c r="D203" s="78" t="s">
        <v>439</v>
      </c>
      <c r="E203" s="78" t="s">
        <v>440</v>
      </c>
      <c r="F203" s="78" t="s">
        <v>358</v>
      </c>
      <c r="G203" s="78" t="s">
        <v>359</v>
      </c>
      <c r="H203" s="78" t="s">
        <v>455</v>
      </c>
      <c r="I203" s="78" t="s">
        <v>448</v>
      </c>
      <c r="J203" s="78" t="s">
        <v>38</v>
      </c>
      <c r="K203" s="78" t="s">
        <v>85</v>
      </c>
      <c r="L203" s="78" t="s">
        <v>422</v>
      </c>
      <c r="M203" s="78" t="s">
        <v>40</v>
      </c>
      <c r="N203" s="80">
        <v>142800000</v>
      </c>
      <c r="O203" s="80"/>
      <c r="P203" s="80"/>
      <c r="Q203" s="80">
        <v>0</v>
      </c>
      <c r="R203" s="80">
        <v>0</v>
      </c>
      <c r="S203" s="80">
        <v>142800000</v>
      </c>
      <c r="T203" s="80">
        <v>0</v>
      </c>
      <c r="U203" s="80">
        <v>142800000</v>
      </c>
      <c r="V203" s="80"/>
      <c r="W203" s="80">
        <v>0</v>
      </c>
      <c r="X203" s="80">
        <v>0</v>
      </c>
      <c r="Y203" s="80">
        <v>0</v>
      </c>
      <c r="Z203" s="80">
        <v>0</v>
      </c>
      <c r="AA203" s="80">
        <v>0</v>
      </c>
      <c r="AB203" t="str">
        <f t="shared" si="9"/>
        <v>C-0301-1000-29</v>
      </c>
      <c r="AC203" t="str">
        <f t="shared" si="10"/>
        <v>C</v>
      </c>
    </row>
    <row r="204" spans="1:29" ht="21" customHeight="1">
      <c r="A204" s="78" t="s">
        <v>708</v>
      </c>
      <c r="B204" s="79">
        <v>2024</v>
      </c>
      <c r="C204" s="78" t="s">
        <v>3</v>
      </c>
      <c r="D204" s="78" t="s">
        <v>456</v>
      </c>
      <c r="E204" s="78" t="s">
        <v>457</v>
      </c>
      <c r="F204" s="78" t="s">
        <v>196</v>
      </c>
      <c r="G204" s="78" t="s">
        <v>197</v>
      </c>
      <c r="H204" s="78" t="s">
        <v>458</v>
      </c>
      <c r="I204" s="78" t="s">
        <v>459</v>
      </c>
      <c r="J204" s="78" t="s">
        <v>38</v>
      </c>
      <c r="K204" s="78" t="s">
        <v>85</v>
      </c>
      <c r="L204" s="78" t="s">
        <v>422</v>
      </c>
      <c r="M204" s="78" t="s">
        <v>40</v>
      </c>
      <c r="N204" s="80">
        <v>1870376600</v>
      </c>
      <c r="O204" s="80"/>
      <c r="P204" s="80"/>
      <c r="Q204" s="80">
        <v>0</v>
      </c>
      <c r="R204" s="80">
        <v>0</v>
      </c>
      <c r="S204" s="80">
        <v>1870376600</v>
      </c>
      <c r="T204" s="80">
        <v>461815200</v>
      </c>
      <c r="U204" s="80">
        <v>1408561400</v>
      </c>
      <c r="V204" s="80">
        <v>461815200</v>
      </c>
      <c r="W204" s="80">
        <v>0</v>
      </c>
      <c r="X204" s="80">
        <v>0</v>
      </c>
      <c r="Y204" s="80">
        <v>0</v>
      </c>
      <c r="Z204" s="80">
        <v>0</v>
      </c>
      <c r="AA204" s="80">
        <v>0</v>
      </c>
      <c r="AB204" t="str">
        <f t="shared" si="9"/>
        <v>C-0301-1000-30</v>
      </c>
      <c r="AC204" t="str">
        <f t="shared" si="10"/>
        <v>C</v>
      </c>
    </row>
    <row r="205" spans="1:29" ht="21" customHeight="1">
      <c r="A205" s="78" t="s">
        <v>708</v>
      </c>
      <c r="B205" s="79">
        <v>2024</v>
      </c>
      <c r="C205" s="78" t="s">
        <v>3</v>
      </c>
      <c r="D205" s="78" t="s">
        <v>456</v>
      </c>
      <c r="E205" s="78" t="s">
        <v>457</v>
      </c>
      <c r="F205" s="78" t="s">
        <v>196</v>
      </c>
      <c r="G205" s="78" t="s">
        <v>197</v>
      </c>
      <c r="H205" s="78" t="s">
        <v>460</v>
      </c>
      <c r="I205" s="78" t="s">
        <v>461</v>
      </c>
      <c r="J205" s="78" t="s">
        <v>38</v>
      </c>
      <c r="K205" s="78" t="s">
        <v>85</v>
      </c>
      <c r="L205" s="78" t="s">
        <v>422</v>
      </c>
      <c r="M205" s="78" t="s">
        <v>40</v>
      </c>
      <c r="N205" s="80">
        <v>770860213</v>
      </c>
      <c r="O205" s="80"/>
      <c r="P205" s="80"/>
      <c r="Q205" s="80">
        <v>0</v>
      </c>
      <c r="R205" s="80">
        <v>0</v>
      </c>
      <c r="S205" s="80">
        <v>770860213</v>
      </c>
      <c r="T205" s="80">
        <v>770860213</v>
      </c>
      <c r="U205" s="80">
        <v>0</v>
      </c>
      <c r="V205" s="80">
        <v>762532276</v>
      </c>
      <c r="W205" s="80">
        <v>108926321</v>
      </c>
      <c r="X205" s="80">
        <v>108926321</v>
      </c>
      <c r="Y205" s="80">
        <v>108926321</v>
      </c>
      <c r="Z205" s="80">
        <v>0</v>
      </c>
      <c r="AA205" s="80">
        <v>0</v>
      </c>
      <c r="AB205" t="str">
        <f t="shared" si="9"/>
        <v>C-0301-1000-30</v>
      </c>
      <c r="AC205" t="str">
        <f t="shared" si="10"/>
        <v>C</v>
      </c>
    </row>
    <row r="206" spans="1:29" ht="21" customHeight="1">
      <c r="A206" s="78" t="s">
        <v>708</v>
      </c>
      <c r="B206" s="79">
        <v>2024</v>
      </c>
      <c r="C206" s="78" t="s">
        <v>3</v>
      </c>
      <c r="D206" s="78" t="s">
        <v>456</v>
      </c>
      <c r="E206" s="78" t="s">
        <v>457</v>
      </c>
      <c r="F206" s="78" t="s">
        <v>196</v>
      </c>
      <c r="G206" s="78" t="s">
        <v>197</v>
      </c>
      <c r="H206" s="78" t="s">
        <v>462</v>
      </c>
      <c r="I206" s="78" t="s">
        <v>463</v>
      </c>
      <c r="J206" s="78" t="s">
        <v>38</v>
      </c>
      <c r="K206" s="78" t="s">
        <v>85</v>
      </c>
      <c r="L206" s="78" t="s">
        <v>422</v>
      </c>
      <c r="M206" s="78" t="s">
        <v>40</v>
      </c>
      <c r="N206" s="80">
        <v>357000000</v>
      </c>
      <c r="O206" s="80"/>
      <c r="P206" s="80"/>
      <c r="Q206" s="80">
        <v>0</v>
      </c>
      <c r="R206" s="80">
        <v>0</v>
      </c>
      <c r="S206" s="80">
        <v>357000000</v>
      </c>
      <c r="T206" s="80">
        <v>0</v>
      </c>
      <c r="U206" s="80">
        <v>357000000</v>
      </c>
      <c r="V206" s="80"/>
      <c r="W206" s="80">
        <v>0</v>
      </c>
      <c r="X206" s="80">
        <v>0</v>
      </c>
      <c r="Y206" s="80">
        <v>0</v>
      </c>
      <c r="Z206" s="80">
        <v>0</v>
      </c>
      <c r="AA206" s="80">
        <v>0</v>
      </c>
      <c r="AB206" t="str">
        <f t="shared" si="9"/>
        <v>C-0301-1000-30</v>
      </c>
      <c r="AC206" t="str">
        <f t="shared" si="10"/>
        <v>C</v>
      </c>
    </row>
    <row r="207" spans="1:29" ht="21" customHeight="1">
      <c r="A207" s="78" t="s">
        <v>708</v>
      </c>
      <c r="B207" s="79">
        <v>2024</v>
      </c>
      <c r="C207" s="78" t="s">
        <v>3</v>
      </c>
      <c r="D207" s="78" t="s">
        <v>456</v>
      </c>
      <c r="E207" s="78" t="s">
        <v>457</v>
      </c>
      <c r="F207" s="78" t="s">
        <v>196</v>
      </c>
      <c r="G207" s="78" t="s">
        <v>197</v>
      </c>
      <c r="H207" s="78" t="s">
        <v>464</v>
      </c>
      <c r="I207" s="78" t="s">
        <v>463</v>
      </c>
      <c r="J207" s="78" t="s">
        <v>38</v>
      </c>
      <c r="K207" s="78" t="s">
        <v>85</v>
      </c>
      <c r="L207" s="78" t="s">
        <v>422</v>
      </c>
      <c r="M207" s="78" t="s">
        <v>40</v>
      </c>
      <c r="N207" s="80">
        <v>86238788</v>
      </c>
      <c r="O207" s="80"/>
      <c r="P207" s="80"/>
      <c r="Q207" s="80">
        <v>0</v>
      </c>
      <c r="R207" s="80">
        <v>0</v>
      </c>
      <c r="S207" s="80">
        <v>86238788</v>
      </c>
      <c r="T207" s="80">
        <v>86238788</v>
      </c>
      <c r="U207" s="80">
        <v>0</v>
      </c>
      <c r="V207" s="80">
        <v>86238788</v>
      </c>
      <c r="W207" s="80">
        <v>0</v>
      </c>
      <c r="X207" s="80">
        <v>0</v>
      </c>
      <c r="Y207" s="80">
        <v>0</v>
      </c>
      <c r="Z207" s="80">
        <v>0</v>
      </c>
      <c r="AA207" s="80">
        <v>0</v>
      </c>
      <c r="AB207" t="str">
        <f t="shared" si="9"/>
        <v>C-0301-1000-30</v>
      </c>
      <c r="AC207" t="str">
        <f t="shared" si="10"/>
        <v>C</v>
      </c>
    </row>
    <row r="208" spans="1:29" ht="21" customHeight="1">
      <c r="A208" s="78" t="s">
        <v>708</v>
      </c>
      <c r="B208" s="79">
        <v>2024</v>
      </c>
      <c r="C208" s="78" t="s">
        <v>3</v>
      </c>
      <c r="D208" s="78" t="s">
        <v>456</v>
      </c>
      <c r="E208" s="78" t="s">
        <v>457</v>
      </c>
      <c r="F208" s="78" t="s">
        <v>196</v>
      </c>
      <c r="G208" s="78" t="s">
        <v>197</v>
      </c>
      <c r="H208" s="78" t="s">
        <v>465</v>
      </c>
      <c r="I208" s="78" t="s">
        <v>459</v>
      </c>
      <c r="J208" s="78" t="s">
        <v>38</v>
      </c>
      <c r="K208" s="78" t="s">
        <v>85</v>
      </c>
      <c r="L208" s="78" t="s">
        <v>422</v>
      </c>
      <c r="M208" s="78" t="s">
        <v>40</v>
      </c>
      <c r="N208" s="80">
        <v>374000000</v>
      </c>
      <c r="O208" s="80"/>
      <c r="P208" s="80"/>
      <c r="Q208" s="80">
        <v>0</v>
      </c>
      <c r="R208" s="80">
        <v>0</v>
      </c>
      <c r="S208" s="80">
        <v>374000000</v>
      </c>
      <c r="T208" s="80">
        <v>0</v>
      </c>
      <c r="U208" s="80">
        <v>374000000</v>
      </c>
      <c r="V208" s="80"/>
      <c r="W208" s="80">
        <v>0</v>
      </c>
      <c r="X208" s="80">
        <v>0</v>
      </c>
      <c r="Y208" s="80">
        <v>0</v>
      </c>
      <c r="Z208" s="80">
        <v>0</v>
      </c>
      <c r="AA208" s="80">
        <v>0</v>
      </c>
      <c r="AB208" t="str">
        <f t="shared" si="9"/>
        <v>C-0301-1000-30</v>
      </c>
      <c r="AC208" t="str">
        <f t="shared" si="10"/>
        <v>C</v>
      </c>
    </row>
    <row r="209" spans="1:29" ht="21" customHeight="1">
      <c r="A209" s="78" t="s">
        <v>708</v>
      </c>
      <c r="B209" s="79">
        <v>2024</v>
      </c>
      <c r="C209" s="78" t="s">
        <v>3</v>
      </c>
      <c r="D209" s="78" t="s">
        <v>456</v>
      </c>
      <c r="E209" s="78" t="s">
        <v>457</v>
      </c>
      <c r="F209" s="78" t="s">
        <v>196</v>
      </c>
      <c r="G209" s="78" t="s">
        <v>197</v>
      </c>
      <c r="H209" s="78" t="s">
        <v>466</v>
      </c>
      <c r="I209" s="78" t="s">
        <v>461</v>
      </c>
      <c r="J209" s="78" t="s">
        <v>38</v>
      </c>
      <c r="K209" s="78" t="s">
        <v>85</v>
      </c>
      <c r="L209" s="78" t="s">
        <v>422</v>
      </c>
      <c r="M209" s="78" t="s">
        <v>40</v>
      </c>
      <c r="N209" s="80">
        <v>700686109</v>
      </c>
      <c r="O209" s="80"/>
      <c r="P209" s="80"/>
      <c r="Q209" s="80">
        <v>0</v>
      </c>
      <c r="R209" s="80">
        <v>0</v>
      </c>
      <c r="S209" s="80">
        <v>700686109</v>
      </c>
      <c r="T209" s="80">
        <v>241915091</v>
      </c>
      <c r="U209" s="80">
        <v>458771018</v>
      </c>
      <c r="V209" s="80">
        <v>238526926</v>
      </c>
      <c r="W209" s="80">
        <v>34559300</v>
      </c>
      <c r="X209" s="80">
        <v>34559300</v>
      </c>
      <c r="Y209" s="80">
        <v>34559300</v>
      </c>
      <c r="Z209" s="80">
        <v>0</v>
      </c>
      <c r="AA209" s="80">
        <v>0</v>
      </c>
      <c r="AB209" t="str">
        <f t="shared" si="9"/>
        <v>C-0301-1000-30</v>
      </c>
      <c r="AC209" t="str">
        <f t="shared" si="10"/>
        <v>C</v>
      </c>
    </row>
    <row r="210" spans="1:29" ht="21" customHeight="1">
      <c r="A210" s="78" t="s">
        <v>708</v>
      </c>
      <c r="B210" s="79">
        <v>2024</v>
      </c>
      <c r="C210" s="78" t="s">
        <v>3</v>
      </c>
      <c r="D210" s="78" t="s">
        <v>456</v>
      </c>
      <c r="E210" s="78" t="s">
        <v>457</v>
      </c>
      <c r="F210" s="78" t="s">
        <v>196</v>
      </c>
      <c r="G210" s="78" t="s">
        <v>197</v>
      </c>
      <c r="H210" s="78" t="s">
        <v>467</v>
      </c>
      <c r="I210" s="78" t="s">
        <v>468</v>
      </c>
      <c r="J210" s="78" t="s">
        <v>38</v>
      </c>
      <c r="K210" s="78" t="s">
        <v>85</v>
      </c>
      <c r="L210" s="78" t="s">
        <v>422</v>
      </c>
      <c r="M210" s="78" t="s">
        <v>40</v>
      </c>
      <c r="N210" s="80">
        <v>9675009296</v>
      </c>
      <c r="O210" s="80"/>
      <c r="P210" s="80"/>
      <c r="Q210" s="80">
        <v>0</v>
      </c>
      <c r="R210" s="80">
        <v>0</v>
      </c>
      <c r="S210" s="80">
        <v>9675009296</v>
      </c>
      <c r="T210" s="80">
        <v>6320659296</v>
      </c>
      <c r="U210" s="80">
        <v>3354350000</v>
      </c>
      <c r="V210" s="80">
        <v>6320659296</v>
      </c>
      <c r="W210" s="80">
        <v>0</v>
      </c>
      <c r="X210" s="80">
        <v>0</v>
      </c>
      <c r="Y210" s="80">
        <v>0</v>
      </c>
      <c r="Z210" s="80">
        <v>0</v>
      </c>
      <c r="AA210" s="80">
        <v>0</v>
      </c>
      <c r="AB210" t="str">
        <f t="shared" si="9"/>
        <v>C-0301-1000-30</v>
      </c>
      <c r="AC210" t="str">
        <f t="shared" si="10"/>
        <v>C</v>
      </c>
    </row>
    <row r="211" spans="1:29" ht="21" customHeight="1">
      <c r="A211" s="78" t="s">
        <v>708</v>
      </c>
      <c r="B211" s="79">
        <v>2024</v>
      </c>
      <c r="C211" s="78" t="s">
        <v>3</v>
      </c>
      <c r="D211" s="78" t="s">
        <v>456</v>
      </c>
      <c r="E211" s="78" t="s">
        <v>457</v>
      </c>
      <c r="F211" s="78" t="s">
        <v>196</v>
      </c>
      <c r="G211" s="78" t="s">
        <v>197</v>
      </c>
      <c r="H211" s="78" t="s">
        <v>469</v>
      </c>
      <c r="I211" s="78" t="s">
        <v>461</v>
      </c>
      <c r="J211" s="78" t="s">
        <v>38</v>
      </c>
      <c r="K211" s="78" t="s">
        <v>85</v>
      </c>
      <c r="L211" s="78" t="s">
        <v>422</v>
      </c>
      <c r="M211" s="78" t="s">
        <v>40</v>
      </c>
      <c r="N211" s="80">
        <v>681532403</v>
      </c>
      <c r="O211" s="80"/>
      <c r="P211" s="80"/>
      <c r="Q211" s="80">
        <v>0</v>
      </c>
      <c r="R211" s="80">
        <v>0</v>
      </c>
      <c r="S211" s="80">
        <v>681532403</v>
      </c>
      <c r="T211" s="80">
        <v>577294575</v>
      </c>
      <c r="U211" s="80">
        <v>104237828</v>
      </c>
      <c r="V211" s="80">
        <v>570830170</v>
      </c>
      <c r="W211" s="80">
        <v>72709970</v>
      </c>
      <c r="X211" s="80">
        <v>72709970</v>
      </c>
      <c r="Y211" s="80">
        <v>72709970</v>
      </c>
      <c r="Z211" s="80">
        <v>0</v>
      </c>
      <c r="AA211" s="80">
        <v>0</v>
      </c>
      <c r="AB211" t="str">
        <f t="shared" si="9"/>
        <v>C-0301-1000-30</v>
      </c>
      <c r="AC211" t="str">
        <f t="shared" si="10"/>
        <v>C</v>
      </c>
    </row>
    <row r="212" spans="1:29" ht="21" customHeight="1">
      <c r="A212" s="78" t="s">
        <v>708</v>
      </c>
      <c r="B212" s="79">
        <v>2024</v>
      </c>
      <c r="C212" s="78" t="s">
        <v>3</v>
      </c>
      <c r="D212" s="78" t="s">
        <v>456</v>
      </c>
      <c r="E212" s="78" t="s">
        <v>457</v>
      </c>
      <c r="F212" s="78" t="s">
        <v>196</v>
      </c>
      <c r="G212" s="78" t="s">
        <v>197</v>
      </c>
      <c r="H212" s="78" t="s">
        <v>470</v>
      </c>
      <c r="I212" s="78" t="s">
        <v>463</v>
      </c>
      <c r="J212" s="78" t="s">
        <v>38</v>
      </c>
      <c r="K212" s="78" t="s">
        <v>85</v>
      </c>
      <c r="L212" s="78" t="s">
        <v>422</v>
      </c>
      <c r="M212" s="78" t="s">
        <v>40</v>
      </c>
      <c r="N212" s="80">
        <v>287468291</v>
      </c>
      <c r="O212" s="80"/>
      <c r="P212" s="80"/>
      <c r="Q212" s="80">
        <v>0</v>
      </c>
      <c r="R212" s="80">
        <v>0</v>
      </c>
      <c r="S212" s="80">
        <v>287468291</v>
      </c>
      <c r="T212" s="80">
        <v>287468291</v>
      </c>
      <c r="U212" s="80">
        <v>0</v>
      </c>
      <c r="V212" s="80">
        <v>284247359</v>
      </c>
      <c r="W212" s="80">
        <v>42677359</v>
      </c>
      <c r="X212" s="80">
        <v>42677359</v>
      </c>
      <c r="Y212" s="80">
        <v>42677359</v>
      </c>
      <c r="Z212" s="80">
        <v>0</v>
      </c>
      <c r="AA212" s="80">
        <v>0</v>
      </c>
      <c r="AB212" t="str">
        <f t="shared" si="9"/>
        <v>C-0301-1000-30</v>
      </c>
      <c r="AC212" t="str">
        <f t="shared" si="10"/>
        <v>C</v>
      </c>
    </row>
    <row r="213" spans="1:29" ht="21" customHeight="1">
      <c r="A213" s="78" t="s">
        <v>708</v>
      </c>
      <c r="B213" s="79">
        <v>2024</v>
      </c>
      <c r="C213" s="78" t="s">
        <v>3</v>
      </c>
      <c r="D213" s="78" t="s">
        <v>456</v>
      </c>
      <c r="E213" s="78" t="s">
        <v>457</v>
      </c>
      <c r="F213" s="78" t="s">
        <v>274</v>
      </c>
      <c r="G213" s="78" t="s">
        <v>275</v>
      </c>
      <c r="H213" s="78" t="s">
        <v>464</v>
      </c>
      <c r="I213" s="78" t="s">
        <v>463</v>
      </c>
      <c r="J213" s="78" t="s">
        <v>38</v>
      </c>
      <c r="K213" s="78" t="s">
        <v>85</v>
      </c>
      <c r="L213" s="78" t="s">
        <v>422</v>
      </c>
      <c r="M213" s="78" t="s">
        <v>40</v>
      </c>
      <c r="N213" s="80">
        <v>383049109</v>
      </c>
      <c r="O213" s="80"/>
      <c r="P213" s="80"/>
      <c r="Q213" s="80">
        <v>0</v>
      </c>
      <c r="R213" s="80">
        <v>0</v>
      </c>
      <c r="S213" s="80">
        <v>383049109</v>
      </c>
      <c r="T213" s="80">
        <v>383049109</v>
      </c>
      <c r="U213" s="80">
        <v>0</v>
      </c>
      <c r="V213" s="80">
        <v>378087618</v>
      </c>
      <c r="W213" s="80">
        <v>55794274</v>
      </c>
      <c r="X213" s="80">
        <v>55794274</v>
      </c>
      <c r="Y213" s="80">
        <v>55794274</v>
      </c>
      <c r="Z213" s="80">
        <v>0</v>
      </c>
      <c r="AA213" s="80">
        <v>0</v>
      </c>
      <c r="AB213" t="str">
        <f t="shared" si="9"/>
        <v>C-0301-1000-30</v>
      </c>
      <c r="AC213" t="str">
        <f t="shared" si="10"/>
        <v>C</v>
      </c>
    </row>
    <row r="214" spans="1:29" ht="21" customHeight="1">
      <c r="A214" s="78" t="s">
        <v>708</v>
      </c>
      <c r="B214" s="79">
        <v>2024</v>
      </c>
      <c r="C214" s="78" t="s">
        <v>3</v>
      </c>
      <c r="D214" s="78" t="s">
        <v>456</v>
      </c>
      <c r="E214" s="78" t="s">
        <v>457</v>
      </c>
      <c r="F214" s="78" t="s">
        <v>358</v>
      </c>
      <c r="G214" s="78" t="s">
        <v>359</v>
      </c>
      <c r="H214" s="78" t="s">
        <v>464</v>
      </c>
      <c r="I214" s="78" t="s">
        <v>463</v>
      </c>
      <c r="J214" s="78" t="s">
        <v>38</v>
      </c>
      <c r="K214" s="78" t="s">
        <v>85</v>
      </c>
      <c r="L214" s="78" t="s">
        <v>422</v>
      </c>
      <c r="M214" s="78" t="s">
        <v>40</v>
      </c>
      <c r="N214" s="80">
        <v>417309191</v>
      </c>
      <c r="O214" s="80"/>
      <c r="P214" s="80"/>
      <c r="Q214" s="80">
        <v>0</v>
      </c>
      <c r="R214" s="80">
        <v>0</v>
      </c>
      <c r="S214" s="80">
        <v>417309191</v>
      </c>
      <c r="T214" s="80">
        <v>416797500</v>
      </c>
      <c r="U214" s="80">
        <v>511691</v>
      </c>
      <c r="V214" s="80">
        <v>234650859</v>
      </c>
      <c r="W214" s="80">
        <v>15288859</v>
      </c>
      <c r="X214" s="80">
        <v>15288859</v>
      </c>
      <c r="Y214" s="80">
        <v>15288859</v>
      </c>
      <c r="Z214" s="80">
        <v>0</v>
      </c>
      <c r="AA214" s="80">
        <v>0</v>
      </c>
      <c r="AB214" t="str">
        <f t="shared" si="9"/>
        <v>C-0301-1000-30</v>
      </c>
      <c r="AC214" t="str">
        <f t="shared" si="10"/>
        <v>C</v>
      </c>
    </row>
    <row r="215" spans="1:29" ht="21" customHeight="1">
      <c r="A215" s="78"/>
      <c r="B215" s="79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t="str">
        <f t="shared" si="9"/>
        <v/>
      </c>
      <c r="AC215" t="str">
        <f t="shared" si="10"/>
        <v/>
      </c>
    </row>
    <row r="216" spans="1:29" ht="21" customHeight="1">
      <c r="A216" s="78"/>
      <c r="B216" s="79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  <c r="AB216" t="str">
        <f t="shared" si="9"/>
        <v/>
      </c>
      <c r="AC216" t="str">
        <f t="shared" si="10"/>
        <v/>
      </c>
    </row>
    <row r="217" spans="1:29" ht="21" customHeight="1">
      <c r="A217" s="78"/>
      <c r="B217" s="79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t="str">
        <f t="shared" si="9"/>
        <v/>
      </c>
      <c r="AC217" t="str">
        <f t="shared" si="10"/>
        <v/>
      </c>
    </row>
    <row r="218" spans="1:29" ht="21" customHeight="1">
      <c r="A218" s="78"/>
      <c r="B218" s="79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  <c r="AB218" t="str">
        <f t="shared" si="9"/>
        <v/>
      </c>
      <c r="AC218" t="str">
        <f t="shared" si="10"/>
        <v/>
      </c>
    </row>
    <row r="219" spans="1:29" ht="21" customHeight="1">
      <c r="A219" s="78"/>
      <c r="B219" s="79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  <c r="AB219" t="str">
        <f t="shared" si="9"/>
        <v/>
      </c>
      <c r="AC219" t="str">
        <f t="shared" si="10"/>
        <v/>
      </c>
    </row>
    <row r="220" spans="1:29" ht="21" customHeight="1">
      <c r="A220" s="78"/>
      <c r="B220" s="79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  <c r="AB220" t="str">
        <f t="shared" si="9"/>
        <v/>
      </c>
      <c r="AC220" t="str">
        <f t="shared" si="10"/>
        <v/>
      </c>
    </row>
    <row r="221" spans="1:29" ht="21" customHeight="1">
      <c r="A221" s="78"/>
      <c r="B221" s="79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  <c r="AB221" t="str">
        <f t="shared" si="9"/>
        <v/>
      </c>
      <c r="AC221" t="str">
        <f t="shared" si="10"/>
        <v/>
      </c>
    </row>
    <row r="222" spans="1:29" ht="21" customHeight="1">
      <c r="A222" s="78"/>
      <c r="B222" s="79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  <c r="AB222" t="str">
        <f t="shared" si="9"/>
        <v/>
      </c>
      <c r="AC222" t="str">
        <f t="shared" si="10"/>
        <v/>
      </c>
    </row>
    <row r="223" spans="1:29" ht="21" customHeight="1">
      <c r="A223" s="78"/>
      <c r="B223" s="79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t="str">
        <f t="shared" si="9"/>
        <v/>
      </c>
      <c r="AC223" t="str">
        <f t="shared" si="10"/>
        <v/>
      </c>
    </row>
    <row r="224" spans="1:29" ht="21" customHeight="1">
      <c r="A224" s="78"/>
      <c r="B224" s="79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  <c r="AB224" t="str">
        <f t="shared" si="9"/>
        <v/>
      </c>
      <c r="AC224" t="str">
        <f t="shared" si="10"/>
        <v/>
      </c>
    </row>
    <row r="225" spans="1:29" ht="21" customHeight="1">
      <c r="A225" s="78"/>
      <c r="B225" s="79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  <c r="AB225" t="str">
        <f t="shared" si="9"/>
        <v/>
      </c>
      <c r="AC225" t="str">
        <f t="shared" si="10"/>
        <v/>
      </c>
    </row>
    <row r="226" spans="1:29" ht="21" customHeight="1">
      <c r="A226" s="78"/>
      <c r="B226" s="79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  <c r="AB226" t="str">
        <f t="shared" si="9"/>
        <v/>
      </c>
      <c r="AC226" t="str">
        <f t="shared" si="10"/>
        <v/>
      </c>
    </row>
    <row r="227" spans="1:29" ht="21" customHeight="1">
      <c r="A227" s="78"/>
      <c r="B227" s="79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  <c r="AB227" t="str">
        <f t="shared" si="9"/>
        <v/>
      </c>
      <c r="AC227" t="str">
        <f t="shared" si="10"/>
        <v/>
      </c>
    </row>
    <row r="228" spans="1:29" ht="21" customHeight="1">
      <c r="A228" s="78"/>
      <c r="B228" s="79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  <c r="AB228" t="str">
        <f t="shared" si="9"/>
        <v/>
      </c>
      <c r="AC228" t="str">
        <f t="shared" si="10"/>
        <v/>
      </c>
    </row>
    <row r="229" spans="1:29" ht="21" customHeight="1">
      <c r="A229" s="78"/>
      <c r="B229" s="79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t="str">
        <f t="shared" si="9"/>
        <v/>
      </c>
      <c r="AC229" t="str">
        <f t="shared" si="10"/>
        <v/>
      </c>
    </row>
    <row r="230" spans="1:29" ht="21" customHeight="1">
      <c r="A230" s="78"/>
      <c r="B230" s="79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  <c r="AB230" t="str">
        <f t="shared" si="9"/>
        <v/>
      </c>
      <c r="AC230" t="str">
        <f t="shared" si="10"/>
        <v/>
      </c>
    </row>
    <row r="231" spans="1:29" ht="21" customHeight="1">
      <c r="A231" s="78"/>
      <c r="B231" s="79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t="str">
        <f t="shared" si="9"/>
        <v/>
      </c>
      <c r="AC231" t="str">
        <f t="shared" si="10"/>
        <v/>
      </c>
    </row>
    <row r="232" spans="1:29" ht="21" customHeight="1">
      <c r="A232" s="78"/>
      <c r="B232" s="79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  <c r="AB232" t="str">
        <f t="shared" si="9"/>
        <v/>
      </c>
      <c r="AC232" t="str">
        <f t="shared" si="10"/>
        <v/>
      </c>
    </row>
    <row r="233" spans="1:29" ht="21" customHeight="1">
      <c r="A233" s="78"/>
      <c r="B233" s="79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  <c r="AB233" t="str">
        <f t="shared" si="9"/>
        <v/>
      </c>
      <c r="AC233" t="str">
        <f t="shared" si="10"/>
        <v/>
      </c>
    </row>
    <row r="234" spans="1:29" ht="21" customHeight="1">
      <c r="A234" s="78"/>
      <c r="B234" s="79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  <c r="AB234" t="str">
        <f t="shared" si="9"/>
        <v/>
      </c>
      <c r="AC234" t="str">
        <f t="shared" si="10"/>
        <v/>
      </c>
    </row>
    <row r="235" spans="1:29" ht="21" customHeight="1">
      <c r="A235" s="78"/>
      <c r="B235" s="79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  <c r="AB235" t="str">
        <f t="shared" si="9"/>
        <v/>
      </c>
      <c r="AC235" t="str">
        <f t="shared" si="10"/>
        <v/>
      </c>
    </row>
    <row r="236" spans="1:29" ht="21" customHeight="1">
      <c r="A236" s="78"/>
      <c r="B236" s="79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t="str">
        <f t="shared" si="9"/>
        <v/>
      </c>
      <c r="AC236" t="str">
        <f t="shared" si="10"/>
        <v/>
      </c>
    </row>
    <row r="237" spans="1:29" ht="21" customHeight="1">
      <c r="A237" s="78"/>
      <c r="B237" s="79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t="str">
        <f t="shared" si="9"/>
        <v/>
      </c>
      <c r="AC237" t="str">
        <f t="shared" si="10"/>
        <v/>
      </c>
    </row>
    <row r="238" spans="1:29" ht="21" customHeight="1">
      <c r="A238" s="78"/>
      <c r="B238" s="79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  <c r="AB238" t="str">
        <f t="shared" si="9"/>
        <v/>
      </c>
      <c r="AC238" t="str">
        <f t="shared" si="10"/>
        <v/>
      </c>
    </row>
    <row r="239" spans="1:29" ht="21" customHeight="1">
      <c r="A239" s="78"/>
      <c r="B239" s="79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t="str">
        <f t="shared" si="9"/>
        <v/>
      </c>
      <c r="AC239" t="str">
        <f t="shared" si="10"/>
        <v/>
      </c>
    </row>
    <row r="240" spans="1:29" ht="21" customHeight="1">
      <c r="A240" s="78"/>
      <c r="B240" s="79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  <c r="AB240" t="str">
        <f t="shared" si="9"/>
        <v/>
      </c>
      <c r="AC240" t="str">
        <f t="shared" si="10"/>
        <v/>
      </c>
    </row>
    <row r="241" spans="1:29" ht="21" customHeight="1">
      <c r="A241" s="78"/>
      <c r="B241" s="79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  <c r="AB241" t="str">
        <f t="shared" si="9"/>
        <v/>
      </c>
      <c r="AC241" t="str">
        <f t="shared" si="10"/>
        <v/>
      </c>
    </row>
    <row r="242" spans="1:29" ht="21" customHeight="1">
      <c r="A242" s="78"/>
      <c r="B242" s="79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  <c r="AB242" t="str">
        <f t="shared" si="9"/>
        <v/>
      </c>
      <c r="AC242" t="str">
        <f t="shared" si="10"/>
        <v/>
      </c>
    </row>
    <row r="243" spans="1:29" ht="21" customHeight="1">
      <c r="A243" s="78"/>
      <c r="B243" s="79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  <c r="AB243" t="str">
        <f t="shared" si="9"/>
        <v/>
      </c>
      <c r="AC243" t="str">
        <f t="shared" si="10"/>
        <v/>
      </c>
    </row>
    <row r="244" spans="1:29" ht="21" customHeight="1">
      <c r="A244" s="78"/>
      <c r="B244" s="79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t="str">
        <f t="shared" si="9"/>
        <v/>
      </c>
      <c r="AC244" t="str">
        <f t="shared" si="10"/>
        <v/>
      </c>
    </row>
    <row r="245" spans="1:29">
      <c r="R245" s="225"/>
      <c r="S245" s="225">
        <f t="shared" ref="S245:AA245" si="11">SUM(S2:S244)</f>
        <v>1164125317205</v>
      </c>
      <c r="T245" s="225">
        <f t="shared" si="11"/>
        <v>840189836072.97998</v>
      </c>
      <c r="U245" s="225">
        <f t="shared" si="11"/>
        <v>293935481132.02002</v>
      </c>
      <c r="V245" s="225">
        <f t="shared" si="11"/>
        <v>722666188886.14001</v>
      </c>
      <c r="W245" s="225">
        <f t="shared" si="11"/>
        <v>20229378469.75</v>
      </c>
      <c r="X245" s="225">
        <f t="shared" si="11"/>
        <v>19892330442.75</v>
      </c>
      <c r="Y245" s="225">
        <f t="shared" si="11"/>
        <v>18835079673.75</v>
      </c>
      <c r="Z245" s="225">
        <f t="shared" si="11"/>
        <v>0</v>
      </c>
      <c r="AA245" s="225">
        <f t="shared" si="11"/>
        <v>0</v>
      </c>
    </row>
    <row r="246" spans="1:29">
      <c r="Z246" s="3">
        <v>0</v>
      </c>
      <c r="AA246" s="3">
        <v>0</v>
      </c>
    </row>
    <row r="247" spans="1:29">
      <c r="S247" s="249">
        <f>+'Ejecución Agregado'!T40</f>
        <v>1172911617205</v>
      </c>
      <c r="T247" s="249">
        <f>+'Ejecución Agregado'!V40</f>
        <v>840189836072.97998</v>
      </c>
      <c r="U247" s="3">
        <f>+'Ejecución Agregado'!W40</f>
        <v>294236881132.01996</v>
      </c>
      <c r="V247" s="249">
        <f>+'Ejecución Agregado'!X40</f>
        <v>722665038870.14001</v>
      </c>
      <c r="W247" s="249">
        <f>+'Ejecución Agregado'!Y40</f>
        <v>20229378469.75</v>
      </c>
      <c r="X247" s="249">
        <f>+'Ejecución Agregado'!Z40</f>
        <v>19538670350.75</v>
      </c>
      <c r="Y247" s="249">
        <f>+'Ejecución Agregado'!AA40</f>
        <v>18835079673.75</v>
      </c>
      <c r="Z247" s="3">
        <v>0</v>
      </c>
      <c r="AA247" s="3">
        <v>0</v>
      </c>
    </row>
    <row r="248" spans="1:29">
      <c r="Z248" s="3">
        <v>0</v>
      </c>
      <c r="AA248" s="3">
        <v>0</v>
      </c>
    </row>
    <row r="249" spans="1:29">
      <c r="S249" s="226">
        <f>+S245-S247</f>
        <v>-8786300000</v>
      </c>
      <c r="T249" s="226">
        <f t="shared" ref="T249:AA249" si="12">+T245-T247</f>
        <v>0</v>
      </c>
      <c r="U249" s="226"/>
      <c r="V249" s="226">
        <f t="shared" si="12"/>
        <v>1150016</v>
      </c>
      <c r="W249" s="226">
        <f t="shared" si="12"/>
        <v>0</v>
      </c>
      <c r="X249" s="226">
        <f t="shared" si="12"/>
        <v>353660092</v>
      </c>
      <c r="Y249" s="226">
        <f t="shared" si="12"/>
        <v>0</v>
      </c>
      <c r="Z249" s="226">
        <f t="shared" si="12"/>
        <v>0</v>
      </c>
      <c r="AA249" s="226">
        <f t="shared" si="12"/>
        <v>0</v>
      </c>
    </row>
    <row r="250" spans="1:29">
      <c r="Z250" s="3">
        <v>0</v>
      </c>
      <c r="AA250" s="3">
        <v>0</v>
      </c>
    </row>
    <row r="251" spans="1:29" s="262" customFormat="1">
      <c r="N251" s="261"/>
      <c r="O251" s="261"/>
      <c r="P251" s="261"/>
      <c r="Q251" s="261"/>
      <c r="R251" s="261" t="s">
        <v>471</v>
      </c>
      <c r="S251" s="261">
        <f t="shared" ref="S251:AA251" si="13">SUBTOTAL(9,S2:S244)</f>
        <v>1044103317205</v>
      </c>
      <c r="T251" s="261">
        <f t="shared" si="13"/>
        <v>729855738852.28003</v>
      </c>
      <c r="U251" s="261">
        <f t="shared" si="13"/>
        <v>284247578352.71997</v>
      </c>
      <c r="V251" s="261">
        <f t="shared" si="13"/>
        <v>688344008017.28003</v>
      </c>
      <c r="W251" s="261">
        <f t="shared" si="13"/>
        <v>7283907283</v>
      </c>
      <c r="X251" s="261">
        <f t="shared" si="13"/>
        <v>7017879426</v>
      </c>
      <c r="Y251" s="261">
        <f t="shared" si="13"/>
        <v>6266468244</v>
      </c>
      <c r="Z251" s="261">
        <f t="shared" si="13"/>
        <v>0</v>
      </c>
      <c r="AA251" s="261">
        <f t="shared" si="13"/>
        <v>0</v>
      </c>
    </row>
    <row r="252" spans="1:29" s="260" customFormat="1">
      <c r="N252" s="259"/>
      <c r="O252" s="259"/>
      <c r="P252" s="259"/>
      <c r="Q252" s="259"/>
      <c r="R252" s="259" t="s">
        <v>472</v>
      </c>
      <c r="S252" s="259">
        <f>+'Ejecución Agregado'!T39</f>
        <v>1044103317205</v>
      </c>
      <c r="T252" s="259">
        <f>+'Ejecución Agregado'!V39</f>
        <v>729855738852.28003</v>
      </c>
      <c r="U252" s="259">
        <f>+'Ejecución Agregado'!W39</f>
        <v>284247578352.71997</v>
      </c>
      <c r="V252" s="259">
        <f>+'Ejecución Agregado'!X39</f>
        <v>688344008017.28003</v>
      </c>
      <c r="W252" s="259">
        <f>+'Ejecución Agregado'!Y39</f>
        <v>7283907283</v>
      </c>
      <c r="X252" s="259">
        <f>+'Ejecución Agregado'!Z39</f>
        <v>6678358543</v>
      </c>
      <c r="Y252" s="259">
        <f>+'Ejecución Agregado'!AA39</f>
        <v>6266468244</v>
      </c>
      <c r="Z252" s="259"/>
      <c r="AA252" s="259"/>
    </row>
    <row r="253" spans="1:29" s="264" customFormat="1">
      <c r="N253" s="263"/>
      <c r="O253" s="263"/>
      <c r="P253" s="263"/>
      <c r="Q253" s="263"/>
      <c r="R253" s="263" t="s">
        <v>473</v>
      </c>
      <c r="S253" s="263">
        <f>+S251-S252</f>
        <v>0</v>
      </c>
      <c r="T253" s="263">
        <f t="shared" ref="T253:Y253" si="14">+T251-T252</f>
        <v>0</v>
      </c>
      <c r="U253" s="263">
        <f t="shared" si="14"/>
        <v>0</v>
      </c>
      <c r="V253" s="263">
        <f t="shared" si="14"/>
        <v>0</v>
      </c>
      <c r="W253" s="263">
        <f t="shared" si="14"/>
        <v>0</v>
      </c>
      <c r="X253" s="263">
        <f t="shared" si="14"/>
        <v>339520883</v>
      </c>
      <c r="Y253" s="263">
        <f t="shared" si="14"/>
        <v>0</v>
      </c>
      <c r="Z253" s="263"/>
      <c r="AA253" s="263"/>
    </row>
    <row r="258" spans="14:27" s="258" customFormat="1">
      <c r="N258" s="226"/>
      <c r="O258" s="226"/>
      <c r="P258" s="226"/>
      <c r="Q258" s="226"/>
      <c r="R258" s="226"/>
      <c r="S258" s="226"/>
      <c r="T258" s="226"/>
      <c r="U258" s="226"/>
      <c r="V258" s="226"/>
      <c r="W258" s="226"/>
      <c r="X258" s="226"/>
      <c r="Y258" s="226"/>
      <c r="AA258" s="226"/>
    </row>
    <row r="353" spans="26:27">
      <c r="Z353" s="3">
        <v>0</v>
      </c>
      <c r="AA353" s="3">
        <v>0</v>
      </c>
    </row>
    <row r="354" spans="26:27">
      <c r="Z354" s="3">
        <v>0</v>
      </c>
      <c r="AA354" s="3">
        <v>0</v>
      </c>
    </row>
    <row r="355" spans="26:27">
      <c r="Z355" s="3">
        <v>0</v>
      </c>
      <c r="AA355" s="3">
        <v>0</v>
      </c>
    </row>
    <row r="356" spans="26:27">
      <c r="Z356" s="3">
        <v>0</v>
      </c>
      <c r="AA356" s="3">
        <v>0</v>
      </c>
    </row>
    <row r="357" spans="26:27">
      <c r="Z357" s="3">
        <v>0</v>
      </c>
      <c r="AA357" s="3">
        <v>0</v>
      </c>
    </row>
    <row r="358" spans="26:27">
      <c r="Z358" s="3">
        <v>0</v>
      </c>
      <c r="AA358" s="3">
        <v>0</v>
      </c>
    </row>
    <row r="359" spans="26:27">
      <c r="Z359" s="3">
        <v>0</v>
      </c>
      <c r="AA359" s="3">
        <v>0</v>
      </c>
    </row>
    <row r="360" spans="26:27">
      <c r="Z360" s="3">
        <v>0</v>
      </c>
      <c r="AA360" s="3">
        <v>0</v>
      </c>
    </row>
    <row r="361" spans="26:27">
      <c r="Z361" s="3">
        <v>0</v>
      </c>
      <c r="AA361" s="3">
        <v>0</v>
      </c>
    </row>
    <row r="362" spans="26:27">
      <c r="Z362" s="3">
        <v>0</v>
      </c>
      <c r="AA362" s="3">
        <v>0</v>
      </c>
    </row>
    <row r="363" spans="26:27">
      <c r="Z363" s="3">
        <v>0</v>
      </c>
      <c r="AA363" s="3">
        <v>0</v>
      </c>
    </row>
    <row r="364" spans="26:27">
      <c r="Z364" s="3">
        <v>0</v>
      </c>
      <c r="AA364" s="3">
        <v>0</v>
      </c>
    </row>
    <row r="365" spans="26:27">
      <c r="Z365" s="3">
        <v>0</v>
      </c>
      <c r="AA365" s="3">
        <v>0</v>
      </c>
    </row>
    <row r="366" spans="26:27">
      <c r="Z366" s="3">
        <v>0</v>
      </c>
      <c r="AA366" s="3">
        <v>0</v>
      </c>
    </row>
    <row r="367" spans="26:27">
      <c r="Z367" s="3">
        <v>0</v>
      </c>
      <c r="AA367" s="3">
        <v>0</v>
      </c>
    </row>
    <row r="368" spans="26:27">
      <c r="Z368" s="3">
        <v>0</v>
      </c>
      <c r="AA368" s="3">
        <v>0</v>
      </c>
    </row>
    <row r="369" spans="26:27">
      <c r="Z369" s="3">
        <v>0</v>
      </c>
      <c r="AA369" s="3">
        <v>0</v>
      </c>
    </row>
    <row r="370" spans="26:27">
      <c r="Z370" s="3">
        <v>0</v>
      </c>
      <c r="AA370" s="3">
        <v>0</v>
      </c>
    </row>
    <row r="371" spans="26:27">
      <c r="Z371" s="3">
        <v>0</v>
      </c>
      <c r="AA371" s="3">
        <v>0</v>
      </c>
    </row>
    <row r="372" spans="26:27">
      <c r="Z372" s="3">
        <v>0</v>
      </c>
      <c r="AA372" s="3">
        <v>0</v>
      </c>
    </row>
    <row r="373" spans="26:27">
      <c r="Z373" s="3">
        <v>0</v>
      </c>
      <c r="AA373" s="3">
        <v>0</v>
      </c>
    </row>
    <row r="374" spans="26:27">
      <c r="Z374" s="3">
        <v>0</v>
      </c>
      <c r="AA374" s="3">
        <v>0</v>
      </c>
    </row>
    <row r="375" spans="26:27">
      <c r="Z375" s="3">
        <v>0</v>
      </c>
      <c r="AA375" s="3">
        <v>0</v>
      </c>
    </row>
    <row r="376" spans="26:27">
      <c r="Z376" s="3">
        <v>0</v>
      </c>
      <c r="AA376" s="3">
        <v>0</v>
      </c>
    </row>
    <row r="377" spans="26:27">
      <c r="Z377" s="3">
        <v>0</v>
      </c>
      <c r="AA377" s="3">
        <v>0</v>
      </c>
    </row>
    <row r="378" spans="26:27">
      <c r="Z378" s="3">
        <v>0</v>
      </c>
      <c r="AA378" s="3">
        <v>0</v>
      </c>
    </row>
    <row r="379" spans="26:27">
      <c r="Z379" s="3">
        <v>0</v>
      </c>
      <c r="AA379" s="3">
        <v>0</v>
      </c>
    </row>
    <row r="380" spans="26:27">
      <c r="Z380" s="3">
        <v>0</v>
      </c>
      <c r="AA380" s="3">
        <v>0</v>
      </c>
    </row>
    <row r="381" spans="26:27">
      <c r="Z381" s="3">
        <v>0</v>
      </c>
      <c r="AA381" s="3">
        <v>0</v>
      </c>
    </row>
    <row r="382" spans="26:27">
      <c r="Z382" s="3">
        <v>0</v>
      </c>
      <c r="AA382" s="3">
        <v>0</v>
      </c>
    </row>
    <row r="383" spans="26:27">
      <c r="Z383" s="3">
        <v>0</v>
      </c>
      <c r="AA383" s="3">
        <v>0</v>
      </c>
    </row>
    <row r="384" spans="26:27">
      <c r="Z384" s="3">
        <v>0</v>
      </c>
      <c r="AA384" s="3">
        <v>0</v>
      </c>
    </row>
    <row r="385" spans="26:27">
      <c r="Z385" s="3">
        <v>0</v>
      </c>
      <c r="AA385" s="3">
        <v>0</v>
      </c>
    </row>
    <row r="386" spans="26:27">
      <c r="Z386" s="3">
        <v>0</v>
      </c>
      <c r="AA386" s="3">
        <v>0</v>
      </c>
    </row>
    <row r="387" spans="26:27">
      <c r="Z387" s="3">
        <v>0</v>
      </c>
      <c r="AA387" s="3">
        <v>0</v>
      </c>
    </row>
    <row r="388" spans="26:27">
      <c r="Z388" s="3">
        <v>0</v>
      </c>
      <c r="AA388" s="3">
        <v>0</v>
      </c>
    </row>
    <row r="389" spans="26:27">
      <c r="Z389" s="3">
        <v>0</v>
      </c>
      <c r="AA389" s="3">
        <v>0</v>
      </c>
    </row>
    <row r="390" spans="26:27">
      <c r="Z390" s="3">
        <v>0</v>
      </c>
      <c r="AA390" s="3">
        <v>0</v>
      </c>
    </row>
    <row r="391" spans="26:27">
      <c r="Z391" s="3">
        <v>0</v>
      </c>
      <c r="AA391" s="3">
        <v>0</v>
      </c>
    </row>
    <row r="392" spans="26:27">
      <c r="Z392" s="3">
        <v>0</v>
      </c>
      <c r="AA392" s="3">
        <v>0</v>
      </c>
    </row>
    <row r="393" spans="26:27">
      <c r="Z393" s="3">
        <v>0</v>
      </c>
      <c r="AA393" s="3">
        <v>0</v>
      </c>
    </row>
    <row r="394" spans="26:27">
      <c r="Z394" s="3">
        <v>0</v>
      </c>
      <c r="AA394" s="3">
        <v>0</v>
      </c>
    </row>
    <row r="395" spans="26:27">
      <c r="Z395" s="3">
        <v>0</v>
      </c>
      <c r="AA395" s="3">
        <v>0</v>
      </c>
    </row>
    <row r="396" spans="26:27">
      <c r="Z396" s="3">
        <v>0</v>
      </c>
      <c r="AA396" s="3">
        <v>0</v>
      </c>
    </row>
    <row r="397" spans="26:27">
      <c r="Z397" s="3">
        <v>0</v>
      </c>
      <c r="AA397" s="3">
        <v>0</v>
      </c>
    </row>
    <row r="398" spans="26:27">
      <c r="Z398" s="3">
        <v>0</v>
      </c>
      <c r="AA398" s="3">
        <v>0</v>
      </c>
    </row>
    <row r="399" spans="26:27">
      <c r="Z399" s="3">
        <v>0</v>
      </c>
      <c r="AA399" s="3">
        <v>0</v>
      </c>
    </row>
    <row r="400" spans="26:27">
      <c r="Z400" s="3">
        <v>0</v>
      </c>
      <c r="AA400" s="3">
        <v>0</v>
      </c>
    </row>
    <row r="401" spans="26:27">
      <c r="Z401" s="3">
        <v>0</v>
      </c>
      <c r="AA401" s="3">
        <v>0</v>
      </c>
    </row>
    <row r="402" spans="26:27">
      <c r="Z402" s="3">
        <v>0</v>
      </c>
      <c r="AA402" s="3">
        <v>0</v>
      </c>
    </row>
    <row r="403" spans="26:27">
      <c r="Z403" s="3">
        <v>0</v>
      </c>
      <c r="AA403" s="3">
        <v>0</v>
      </c>
    </row>
    <row r="404" spans="26:27">
      <c r="Z404" s="3">
        <v>0</v>
      </c>
      <c r="AA404" s="3">
        <v>0</v>
      </c>
    </row>
    <row r="405" spans="26:27">
      <c r="Z405" s="3">
        <v>0</v>
      </c>
      <c r="AA405" s="3">
        <v>0</v>
      </c>
    </row>
    <row r="406" spans="26:27">
      <c r="Z406" s="3">
        <v>0</v>
      </c>
      <c r="AA406" s="3">
        <v>0</v>
      </c>
    </row>
    <row r="407" spans="26:27">
      <c r="Z407" s="3">
        <v>0</v>
      </c>
      <c r="AA407" s="3">
        <v>0</v>
      </c>
    </row>
    <row r="408" spans="26:27">
      <c r="Z408" s="3">
        <v>0</v>
      </c>
      <c r="AA408" s="3">
        <v>0</v>
      </c>
    </row>
    <row r="409" spans="26:27">
      <c r="Z409" s="3">
        <v>0</v>
      </c>
      <c r="AA409" s="3">
        <v>0</v>
      </c>
    </row>
    <row r="410" spans="26:27">
      <c r="Z410" s="3">
        <v>0</v>
      </c>
      <c r="AA410" s="3">
        <v>0</v>
      </c>
    </row>
    <row r="411" spans="26:27">
      <c r="Z411" s="3">
        <v>0</v>
      </c>
      <c r="AA411" s="3">
        <v>0</v>
      </c>
    </row>
    <row r="412" spans="26:27">
      <c r="Z412" s="3">
        <v>0</v>
      </c>
      <c r="AA412" s="3">
        <v>0</v>
      </c>
    </row>
    <row r="413" spans="26:27">
      <c r="Z413" s="3">
        <v>0</v>
      </c>
      <c r="AA413" s="3">
        <v>0</v>
      </c>
    </row>
    <row r="414" spans="26:27">
      <c r="Z414" s="3">
        <v>0</v>
      </c>
      <c r="AA414" s="3">
        <v>0</v>
      </c>
    </row>
    <row r="415" spans="26:27">
      <c r="Z415" s="3">
        <v>0</v>
      </c>
      <c r="AA415" s="3">
        <v>0</v>
      </c>
    </row>
    <row r="416" spans="26:27">
      <c r="Z416" s="3">
        <v>0</v>
      </c>
      <c r="AA416" s="3">
        <v>0</v>
      </c>
    </row>
    <row r="417" spans="26:27">
      <c r="Z417" s="3">
        <v>0</v>
      </c>
      <c r="AA417" s="3">
        <v>0</v>
      </c>
    </row>
    <row r="418" spans="26:27">
      <c r="Z418" s="3">
        <v>0</v>
      </c>
      <c r="AA418" s="3">
        <v>0</v>
      </c>
    </row>
    <row r="419" spans="26:27">
      <c r="Z419" s="3">
        <v>0</v>
      </c>
      <c r="AA419" s="3">
        <v>0</v>
      </c>
    </row>
    <row r="420" spans="26:27">
      <c r="Z420" s="3">
        <v>0</v>
      </c>
      <c r="AA420" s="3">
        <v>0</v>
      </c>
    </row>
    <row r="421" spans="26:27">
      <c r="Z421" s="3">
        <v>0</v>
      </c>
      <c r="AA421" s="3">
        <v>0</v>
      </c>
    </row>
    <row r="422" spans="26:27">
      <c r="Z422" s="3">
        <v>0</v>
      </c>
      <c r="AA422" s="3">
        <v>0</v>
      </c>
    </row>
    <row r="423" spans="26:27">
      <c r="Z423" s="3">
        <v>0</v>
      </c>
      <c r="AA423" s="3">
        <v>0</v>
      </c>
    </row>
    <row r="424" spans="26:27">
      <c r="Z424" s="3">
        <v>0</v>
      </c>
      <c r="AA424" s="3">
        <v>0</v>
      </c>
    </row>
    <row r="425" spans="26:27">
      <c r="Z425" s="3">
        <v>0</v>
      </c>
      <c r="AA425" s="3">
        <v>0</v>
      </c>
    </row>
    <row r="426" spans="26:27">
      <c r="Z426" s="3">
        <v>0</v>
      </c>
      <c r="AA426" s="3">
        <v>0</v>
      </c>
    </row>
    <row r="427" spans="26:27">
      <c r="Z427" s="3">
        <v>0</v>
      </c>
      <c r="AA427" s="3">
        <v>0</v>
      </c>
    </row>
    <row r="428" spans="26:27">
      <c r="Z428" s="3">
        <v>0</v>
      </c>
      <c r="AA428" s="3">
        <v>0</v>
      </c>
    </row>
    <row r="429" spans="26:27">
      <c r="Z429" s="3">
        <v>0</v>
      </c>
      <c r="AA429" s="3">
        <v>0</v>
      </c>
    </row>
    <row r="430" spans="26:27">
      <c r="Z430" s="3">
        <v>0</v>
      </c>
      <c r="AA430" s="3">
        <v>0</v>
      </c>
    </row>
    <row r="431" spans="26:27">
      <c r="Z431" s="3">
        <v>0</v>
      </c>
      <c r="AA431" s="3">
        <v>0</v>
      </c>
    </row>
    <row r="432" spans="26:27">
      <c r="Z432" s="3">
        <v>0</v>
      </c>
      <c r="AA432" s="3">
        <v>0</v>
      </c>
    </row>
    <row r="433" spans="26:27">
      <c r="Z433" s="3">
        <v>0</v>
      </c>
      <c r="AA433" s="3">
        <v>0</v>
      </c>
    </row>
    <row r="434" spans="26:27">
      <c r="Z434" s="3">
        <v>0</v>
      </c>
      <c r="AA434" s="3">
        <v>0</v>
      </c>
    </row>
    <row r="435" spans="26:27">
      <c r="Z435" s="3">
        <v>0</v>
      </c>
      <c r="AA435" s="3">
        <v>0</v>
      </c>
    </row>
    <row r="436" spans="26:27">
      <c r="Z436" s="3">
        <v>0</v>
      </c>
      <c r="AA436" s="3">
        <v>0</v>
      </c>
    </row>
    <row r="437" spans="26:27">
      <c r="Z437" s="3">
        <v>0</v>
      </c>
      <c r="AA437" s="3">
        <v>0</v>
      </c>
    </row>
    <row r="438" spans="26:27">
      <c r="Z438" s="3">
        <v>0</v>
      </c>
      <c r="AA438" s="3">
        <v>0</v>
      </c>
    </row>
    <row r="439" spans="26:27">
      <c r="Z439" s="3">
        <v>0</v>
      </c>
      <c r="AA439" s="3">
        <v>0</v>
      </c>
    </row>
    <row r="440" spans="26:27">
      <c r="Z440" s="3">
        <v>0</v>
      </c>
      <c r="AA440" s="3">
        <v>0</v>
      </c>
    </row>
    <row r="441" spans="26:27">
      <c r="Z441" s="3">
        <v>0</v>
      </c>
      <c r="AA441" s="3">
        <v>0</v>
      </c>
    </row>
    <row r="442" spans="26:27">
      <c r="Z442" s="3">
        <v>0</v>
      </c>
      <c r="AA442" s="3">
        <v>0</v>
      </c>
    </row>
    <row r="443" spans="26:27">
      <c r="Z443" s="3">
        <v>0</v>
      </c>
      <c r="AA443" s="3">
        <v>0</v>
      </c>
    </row>
    <row r="444" spans="26:27">
      <c r="Z444" s="3">
        <v>0</v>
      </c>
      <c r="AA444" s="3">
        <v>0</v>
      </c>
    </row>
    <row r="445" spans="26:27">
      <c r="Z445" s="3">
        <v>0</v>
      </c>
      <c r="AA445" s="3">
        <v>0</v>
      </c>
    </row>
    <row r="446" spans="26:27">
      <c r="Z446" s="3">
        <v>0</v>
      </c>
      <c r="AA446" s="3">
        <v>0</v>
      </c>
    </row>
    <row r="447" spans="26:27">
      <c r="Z447" s="3">
        <v>0</v>
      </c>
      <c r="AA447" s="3">
        <v>0</v>
      </c>
    </row>
    <row r="448" spans="26:27">
      <c r="Z448" s="3">
        <v>0</v>
      </c>
      <c r="AA448" s="3">
        <v>0</v>
      </c>
    </row>
    <row r="449" spans="26:27">
      <c r="Z449" s="3">
        <v>0</v>
      </c>
      <c r="AA449" s="3">
        <v>0</v>
      </c>
    </row>
    <row r="450" spans="26:27">
      <c r="Z450" s="3">
        <v>0</v>
      </c>
      <c r="AA450" s="3">
        <v>0</v>
      </c>
    </row>
    <row r="451" spans="26:27">
      <c r="Z451" s="3">
        <v>0</v>
      </c>
      <c r="AA451" s="3">
        <v>0</v>
      </c>
    </row>
    <row r="452" spans="26:27">
      <c r="Z452" s="3">
        <v>0</v>
      </c>
      <c r="AA452" s="3">
        <v>0</v>
      </c>
    </row>
    <row r="453" spans="26:27">
      <c r="Z453" s="3">
        <v>0</v>
      </c>
      <c r="AA453" s="3">
        <v>0</v>
      </c>
    </row>
    <row r="454" spans="26:27">
      <c r="Z454" s="3">
        <v>0</v>
      </c>
      <c r="AA454" s="3">
        <v>0</v>
      </c>
    </row>
    <row r="455" spans="26:27">
      <c r="Z455" s="3">
        <v>0</v>
      </c>
      <c r="AA455" s="3">
        <v>0</v>
      </c>
    </row>
    <row r="456" spans="26:27">
      <c r="Z456" s="3">
        <v>0</v>
      </c>
      <c r="AA456" s="3">
        <v>0</v>
      </c>
    </row>
    <row r="457" spans="26:27">
      <c r="Z457" s="3">
        <v>0</v>
      </c>
      <c r="AA457" s="3">
        <v>0</v>
      </c>
    </row>
    <row r="458" spans="26:27">
      <c r="Z458" s="3">
        <v>0</v>
      </c>
      <c r="AA458" s="3">
        <v>0</v>
      </c>
    </row>
    <row r="459" spans="26:27">
      <c r="Z459" s="3">
        <v>0</v>
      </c>
      <c r="AA459" s="3">
        <v>0</v>
      </c>
    </row>
    <row r="460" spans="26:27">
      <c r="Z460" s="3">
        <v>0</v>
      </c>
      <c r="AA460" s="3">
        <v>0</v>
      </c>
    </row>
    <row r="461" spans="26:27">
      <c r="Z461" s="3">
        <v>0</v>
      </c>
      <c r="AA461" s="3">
        <v>0</v>
      </c>
    </row>
    <row r="462" spans="26:27">
      <c r="Z462" s="3">
        <v>0</v>
      </c>
      <c r="AA462" s="3">
        <v>0</v>
      </c>
    </row>
    <row r="463" spans="26:27">
      <c r="Z463" s="3">
        <v>0</v>
      </c>
      <c r="AA463" s="3">
        <v>0</v>
      </c>
    </row>
    <row r="464" spans="26:27">
      <c r="Z464" s="3">
        <v>0</v>
      </c>
      <c r="AA464" s="3">
        <v>0</v>
      </c>
    </row>
    <row r="467" spans="14:27" s="270" customFormat="1">
      <c r="N467" s="269"/>
      <c r="O467" s="269"/>
      <c r="P467" s="269"/>
      <c r="Q467" s="269"/>
      <c r="R467" s="269" t="s">
        <v>471</v>
      </c>
      <c r="S467" s="269">
        <f>SUBTOTAL(9,S9:S243)</f>
        <v>1001803317205</v>
      </c>
      <c r="T467" s="269">
        <f t="shared" ref="T467:Y467" si="15">SUBTOTAL(9,T9:T243)</f>
        <v>725555738852.28003</v>
      </c>
      <c r="U467" s="269">
        <f t="shared" si="15"/>
        <v>276247578352.71997</v>
      </c>
      <c r="V467" s="269">
        <f t="shared" si="15"/>
        <v>688344008017.28003</v>
      </c>
      <c r="W467" s="269">
        <f t="shared" si="15"/>
        <v>7283907283</v>
      </c>
      <c r="X467" s="269">
        <f t="shared" si="15"/>
        <v>7017879426</v>
      </c>
      <c r="Y467" s="269">
        <f t="shared" si="15"/>
        <v>6266468244</v>
      </c>
      <c r="Z467" s="269"/>
      <c r="AA467" s="269"/>
    </row>
    <row r="468" spans="14:27" s="272" customFormat="1">
      <c r="N468" s="271"/>
      <c r="O468" s="271"/>
      <c r="P468" s="271"/>
      <c r="Q468" s="271"/>
      <c r="R468" s="271"/>
      <c r="S468" s="271">
        <f>+'Ejecución Agregado'!T39</f>
        <v>1044103317205</v>
      </c>
      <c r="T468" s="271">
        <f>+'Ejecución Agregado'!V39</f>
        <v>729855738852.28003</v>
      </c>
      <c r="U468" s="271">
        <f>+'Ejecución Agregado'!W39</f>
        <v>284247578352.71997</v>
      </c>
      <c r="V468" s="271">
        <f>+'Ejecución Agregado'!X39</f>
        <v>688344008017.28003</v>
      </c>
      <c r="W468" s="271">
        <f>+'Ejecución Agregado'!Y39</f>
        <v>7283907283</v>
      </c>
      <c r="X468" s="271">
        <f>+'Ejecución Agregado'!Z39</f>
        <v>6678358543</v>
      </c>
      <c r="Y468" s="271">
        <f>+'Ejecución Agregado'!AA39</f>
        <v>6266468244</v>
      </c>
      <c r="Z468" s="271"/>
      <c r="AA468" s="271"/>
    </row>
    <row r="469" spans="14:27" s="258" customFormat="1">
      <c r="N469" s="226"/>
      <c r="O469" s="226"/>
      <c r="P469" s="226"/>
      <c r="Q469" s="226"/>
      <c r="R469" s="226"/>
      <c r="S469" s="226">
        <f>+S467-S468</f>
        <v>-42300000000</v>
      </c>
      <c r="T469" s="226">
        <f t="shared" ref="T469:Y469" si="16">+T467-T468</f>
        <v>-4300000000</v>
      </c>
      <c r="U469" s="226">
        <f t="shared" si="16"/>
        <v>-8000000000</v>
      </c>
      <c r="V469" s="226">
        <f t="shared" si="16"/>
        <v>0</v>
      </c>
      <c r="W469" s="226">
        <f t="shared" si="16"/>
        <v>0</v>
      </c>
      <c r="X469" s="226">
        <f t="shared" si="16"/>
        <v>339520883</v>
      </c>
      <c r="Y469" s="226">
        <f t="shared" si="16"/>
        <v>0</v>
      </c>
      <c r="Z469" s="226"/>
      <c r="AA469" s="226"/>
    </row>
    <row r="471" spans="14:27">
      <c r="R471" s="3">
        <f>+S130+S227+S241</f>
        <v>105612338</v>
      </c>
    </row>
  </sheetData>
  <autoFilter ref="A1:AC253">
    <filterColumn colId="7">
      <filters blank="1">
        <filter val="C-0301-1000-18-51102E"/>
        <filter val="C-0301-1000-18-51102E-0301021-03"/>
        <filter val="C-0301-1000-20-51102E"/>
        <filter val="C-0301-1000-20-51102E-0301027-02"/>
        <filter val="C-0301-1000-20-51102E-0301030-02"/>
        <filter val="C-0301-1000-22-10305B-0301001-02-01011"/>
        <filter val="C-0301-1000-22-10305B-0301001-02-01012"/>
        <filter val="C-0301-1000-22-10305B-0301027-02-03041"/>
        <filter val="C-0301-1000-22-10305B-0301027-02-03042"/>
        <filter val="C-0301-1000-22-10305B-0301027-02-04011"/>
        <filter val="C-0301-1000-22-10305B-0301027-02-04012"/>
        <filter val="C-0301-1000-29-52104E-0301002-02-1"/>
        <filter val="C-0301-1000-29-52104E-0301002-02-2"/>
        <filter val="C-0301-1000-29-52104E-0301002-02-3"/>
        <filter val="C-0301-1000-29-52104E-0301002-02-5"/>
        <filter val="C-0301-1000-29-52104E-0301003-02-3"/>
        <filter val="C-0301-1000-29-52104E-0301027-02-1"/>
        <filter val="C-0301-1000-29-52104E-0301027-02-2"/>
        <filter val="C-0301-1000-29-52104E-0301027-02-3"/>
        <filter val="C-0301-1000-29-52104E-0301027-02-4"/>
        <filter val="C-0301-1000-29-52104E-0301027-02-5"/>
        <filter val="C-0301-1000-30-52104e-0301002-02-2"/>
        <filter val="C-0301-1000-30-52104e-0301002-02-3"/>
        <filter val="C-0301-1000-30-52104e-0301002-02-4"/>
        <filter val="C-0301-1000-30-52104e-0301003-02-4"/>
        <filter val="C-0301-1000-30-52104e-0301012-02-2"/>
        <filter val="C-0301-1000-30-52104e-0301012-02-3"/>
        <filter val="C-0301-1000-30-52104e-0301031-02-1"/>
        <filter val="C-0301-1000-30-52104e-0301031-02-3"/>
        <filter val="C-0301-1000-30-52104e-0301031-02-4"/>
        <filter val="C-0301-1000-31-53105B"/>
        <filter val="C-0301-1000-33-53105F-0301003-02"/>
        <filter val="C-0301-1000-33-53105F-0301033-02"/>
        <filter val="C-0301-1000-33-53105F-0301035-02"/>
        <filter val="C-0301-1000-34-53105B-0301003-02"/>
        <filter val="C-0301-1000-34-53105B-0301024-02"/>
        <filter val="C-0301-1000-34-53105B-0301027-02"/>
        <filter val="C-0301-1000-34-53105B-0301040-02"/>
        <filter val="C-0301-1000-34-53105B-0301041-02"/>
        <filter val="C-0301-1000-35-53105F-0301014-02"/>
        <filter val="C-0301-1000-35-53105F-0301025-02"/>
        <filter val="C-0301-1000-35-53105F-0301041-02"/>
        <filter val="C-0301-1000-38-53105F-0301003-02"/>
        <filter val="C-0301-1000-38-53105F-0301008-02"/>
        <filter val="C-0301-1000-38-53105F-0301009-02"/>
        <filter val="C-0301-1000-38-53105F-0301024-02"/>
        <filter val="C-0301-1000-38-53105F-0301027-02"/>
        <filter val="C-0301-1000-38-53105F-0301040-02"/>
        <filter val="C-0301-1000-38-53105F-0301042-02"/>
        <filter val="C-0301-1000-38-53105F-0301046-02"/>
        <filter val="C-0301-1000-39-53105F-0301003-02"/>
        <filter val="C-0301-1000-39-53105F-0301024-02"/>
        <filter val="C-0301-1000-39-53105F-0301027-02"/>
        <filter val="C-0301-1000-39-53105F-0301035-02"/>
        <filter val="C-0301-1000-39-53105F-0301040-02"/>
        <filter val="C-0301-1000-39-53105F-0301041-02"/>
        <filter val="C-0301-1000-40-803001-0301002-02"/>
        <filter val="C-0301-1000-40-803001-0301022-02"/>
        <filter val="C-0301-1000-40-803001-0301025-02"/>
        <filter val="C-0301-1000-40-803001-0301027-02"/>
        <filter val="C-0301-1000-40-803001-0301042-02"/>
        <filter val="C-0301-1000-40-803001-0301048-02"/>
        <filter val="C-0399-1000-7-53105B-0399011-02"/>
        <filter val="C-0399-1000-7-53105B-0399015-02"/>
        <filter val="C-0399-1000-8-53105B-0399064-02"/>
        <filter val="C-0399-1000-8-53105B-0399065-02"/>
        <filter val="C-0399-1000-8-53105B-0399066-02"/>
        <filter val="C-0399-1000-9-53105B-0399054-02"/>
        <filter val="C-0399-1000-9-53105B-0399059-02"/>
        <filter val="C-0399-1000-9-53105B-0399073-02"/>
      </filters>
    </filterColumn>
  </autoFilter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tabSelected="1" zoomScale="80" zoomScaleNormal="80" workbookViewId="0">
      <selection activeCell="J4" sqref="J4"/>
    </sheetView>
  </sheetViews>
  <sheetFormatPr baseColWidth="10" defaultColWidth="11.44140625" defaultRowHeight="14.4"/>
  <cols>
    <col min="3" max="3" width="39.88671875" customWidth="1"/>
    <col min="4" max="4" width="24.109375" customWidth="1"/>
    <col min="5" max="5" width="21.33203125" customWidth="1"/>
    <col min="6" max="6" width="18" customWidth="1"/>
    <col min="7" max="7" width="21.88671875" customWidth="1"/>
    <col min="8" max="8" width="19.109375" customWidth="1"/>
    <col min="9" max="9" width="24.33203125" customWidth="1"/>
  </cols>
  <sheetData>
    <row r="2" spans="1:9" ht="15" thickBot="1"/>
    <row r="3" spans="1:9" ht="64.5" customHeight="1" thickBot="1">
      <c r="C3" s="162" t="s">
        <v>474</v>
      </c>
      <c r="D3" s="162" t="s">
        <v>475</v>
      </c>
      <c r="E3" s="162" t="s">
        <v>29</v>
      </c>
      <c r="F3" s="162" t="s">
        <v>476</v>
      </c>
      <c r="G3" s="162" t="s">
        <v>477</v>
      </c>
      <c r="H3" s="162" t="s">
        <v>478</v>
      </c>
    </row>
    <row r="4" spans="1:9" ht="51.75" customHeight="1" thickTop="1" thickBot="1">
      <c r="C4" s="169" t="s">
        <v>479</v>
      </c>
      <c r="D4" s="164">
        <f>+'Ejecución Agregado'!T37/1000000</f>
        <v>128808.3</v>
      </c>
      <c r="E4" s="164">
        <f>+'Ejecución Agregado'!X37/1000000</f>
        <v>34321.03085286</v>
      </c>
      <c r="F4" s="223">
        <f>+E4/D4</f>
        <v>0.26645046051271543</v>
      </c>
      <c r="G4" s="164">
        <f>+'Ejecución Agregado'!Y37/1000000</f>
        <v>12945.471186749999</v>
      </c>
      <c r="H4" s="223">
        <f>+G4/D4</f>
        <v>0.1005018402288517</v>
      </c>
      <c r="I4" s="170"/>
    </row>
    <row r="5" spans="1:9" ht="51.75" customHeight="1" thickBot="1">
      <c r="C5" s="171" t="s">
        <v>480</v>
      </c>
      <c r="D5" s="165">
        <v>0</v>
      </c>
      <c r="E5" s="248">
        <f>+'Ejecución Agregado'!X38/1000000</f>
        <v>0</v>
      </c>
      <c r="F5" s="166">
        <v>0</v>
      </c>
      <c r="G5" s="248">
        <f>+'Ejecución Agregado'!Y38/1000000</f>
        <v>0</v>
      </c>
      <c r="H5" s="166">
        <v>0</v>
      </c>
      <c r="I5" s="170"/>
    </row>
    <row r="6" spans="1:9" ht="51.75" customHeight="1" thickBot="1">
      <c r="C6" s="172" t="s">
        <v>481</v>
      </c>
      <c r="D6" s="167">
        <f>+'Ejecución Agregado'!T39/1000000</f>
        <v>1044103.317205</v>
      </c>
      <c r="E6" s="167">
        <f>+'Ejecución Agregado'!X39/1000000</f>
        <v>688344.00801728002</v>
      </c>
      <c r="F6" s="224">
        <f>+E6/D6</f>
        <v>0.65926809796939867</v>
      </c>
      <c r="G6" s="167">
        <f>+'Ejecución Agregado'!Y39/1000000</f>
        <v>7283.9072829999996</v>
      </c>
      <c r="H6" s="419">
        <f>+G6/D6</f>
        <v>6.9762322971050113E-3</v>
      </c>
      <c r="I6" s="170"/>
    </row>
    <row r="7" spans="1:9" ht="51.75" customHeight="1" thickBot="1">
      <c r="C7" s="173" t="s">
        <v>482</v>
      </c>
      <c r="D7" s="168">
        <f>+D4+D6</f>
        <v>1172911.617205</v>
      </c>
      <c r="E7" s="168">
        <f>+E4+E6</f>
        <v>722665.03887013998</v>
      </c>
      <c r="F7" s="222">
        <f>+E7/D7</f>
        <v>0.61612915096895449</v>
      </c>
      <c r="G7" s="168">
        <f>+G4+G6</f>
        <v>20229.378469749998</v>
      </c>
      <c r="H7" s="420">
        <f>+G7/D7</f>
        <v>1.7247146479762707E-2</v>
      </c>
      <c r="I7" s="170"/>
    </row>
    <row r="8" spans="1:9">
      <c r="D8" s="255">
        <f>+'Ejecución Agregado'!T40</f>
        <v>1172911617205</v>
      </c>
      <c r="E8" s="255">
        <f>+'Ejecución Agregado'!X40</f>
        <v>722665038870.14001</v>
      </c>
      <c r="G8" s="255">
        <f>+'Ejecución Agregado'!Y40</f>
        <v>20229378469.75</v>
      </c>
    </row>
    <row r="10" spans="1:9" ht="15" thickBot="1"/>
    <row r="11" spans="1:9" ht="29.25" customHeight="1">
      <c r="C11" s="451" t="s">
        <v>474</v>
      </c>
      <c r="D11" s="162" t="s">
        <v>483</v>
      </c>
      <c r="E11" s="451" t="s">
        <v>29</v>
      </c>
      <c r="F11" s="451" t="s">
        <v>476</v>
      </c>
      <c r="G11" s="451" t="s">
        <v>477</v>
      </c>
      <c r="H11" s="451" t="s">
        <v>478</v>
      </c>
      <c r="I11" s="451" t="s">
        <v>484</v>
      </c>
    </row>
    <row r="12" spans="1:9" ht="16.8" thickBot="1">
      <c r="C12" s="452"/>
      <c r="D12" s="163" t="s">
        <v>485</v>
      </c>
      <c r="E12" s="452"/>
      <c r="F12" s="452"/>
      <c r="G12" s="452"/>
      <c r="H12" s="452"/>
      <c r="I12" s="452"/>
    </row>
    <row r="13" spans="1:9" ht="51" customHeight="1" thickTop="1" thickBot="1">
      <c r="A13" t="s">
        <v>486</v>
      </c>
      <c r="C13" s="169" t="s">
        <v>487</v>
      </c>
      <c r="D13" s="312">
        <f>(+'Ejecución Agregado'!T5+'Ejecución Agregado'!T6+'Ejecución Agregado'!T7)/1000000</f>
        <v>75203.399999999994</v>
      </c>
      <c r="E13" s="164">
        <f>(+'Ejecución Agregado'!X5+'Ejecución Agregado'!X6+'Ejecución Agregado'!X7)/1000000</f>
        <v>9343.8868044999999</v>
      </c>
      <c r="F13" s="219">
        <f>+E13/D13</f>
        <v>0.1242481962850084</v>
      </c>
      <c r="G13" s="164">
        <f>(+'Ejecución Agregado'!Y5+'Ejecución Agregado'!Y6+'Ejecución Agregado'!Y7)/1000000</f>
        <v>9341.1830504999998</v>
      </c>
      <c r="H13" s="223">
        <f>+G13/D13</f>
        <v>0.12421224373499071</v>
      </c>
      <c r="I13" s="175" t="s">
        <v>488</v>
      </c>
    </row>
    <row r="14" spans="1:9" ht="51" customHeight="1" thickBot="1">
      <c r="A14" t="s">
        <v>489</v>
      </c>
      <c r="C14" s="310" t="s">
        <v>490</v>
      </c>
      <c r="D14" s="314">
        <f>+'Ejecución Agregado'!T8/1000000</f>
        <v>37872.199999999997</v>
      </c>
      <c r="E14" s="311">
        <f>+'Ejecución Agregado'!X8/1000000</f>
        <v>24148.770508360001</v>
      </c>
      <c r="F14" s="220">
        <f>+E14/D14</f>
        <v>0.63763843949810162</v>
      </c>
      <c r="G14" s="176">
        <f>+'Ejecución Agregado'!Y8/1000000</f>
        <v>3049.5640022500002</v>
      </c>
      <c r="H14" s="166">
        <f>+G14/D14</f>
        <v>8.0522494131579372E-2</v>
      </c>
      <c r="I14" s="177" t="s">
        <v>491</v>
      </c>
    </row>
    <row r="15" spans="1:9" ht="61.5" customHeight="1" thickBot="1">
      <c r="A15" t="s">
        <v>492</v>
      </c>
      <c r="C15" s="172" t="s">
        <v>493</v>
      </c>
      <c r="D15" s="313">
        <f>SUM('Ejecución Agregado'!T9:T14)/1000000</f>
        <v>11214.7</v>
      </c>
      <c r="E15" s="167">
        <f>(+'Ejecución Agregado'!X9+'Ejecución Agregado'!X10+'Ejecución Agregado'!X11+'Ejecución Agregado'!X12+'Ejecución Agregado'!X13+'Ejecución Agregado'!X14)/1000000</f>
        <v>825.85054000000002</v>
      </c>
      <c r="F15" s="221">
        <f>+E15/D15</f>
        <v>7.3640002853397765E-2</v>
      </c>
      <c r="G15" s="167">
        <f>+('Ejecución Agregado'!Y9+'Ejecución Agregado'!Y10+'Ejecución Agregado'!Y11+'Ejecución Agregado'!Y12+'Ejecución Agregado'!Y13+'Ejecución Agregado'!Y14)/1000000</f>
        <v>554.72413400000005</v>
      </c>
      <c r="H15" s="224">
        <f>+G15/D15</f>
        <v>4.946401901076266E-2</v>
      </c>
      <c r="I15" s="291" t="s">
        <v>494</v>
      </c>
    </row>
    <row r="16" spans="1:9" ht="51" customHeight="1" thickBot="1">
      <c r="A16" t="s">
        <v>495</v>
      </c>
      <c r="C16" s="310" t="s">
        <v>496</v>
      </c>
      <c r="D16" s="314">
        <f>('Ejecución Agregado'!T15+'Ejecución Agregado'!T16)/1000000</f>
        <v>4518</v>
      </c>
      <c r="E16" s="314">
        <f>('Ejecución Agregado'!X15+'Ejecución Agregado'!X16)/1000000</f>
        <v>2.5230000000000001</v>
      </c>
      <c r="F16" s="220">
        <f>+E16/D16</f>
        <v>5.5843293492695886E-4</v>
      </c>
      <c r="G16" s="176">
        <f>('Ejecución Agregado'!Y15+'Ejecución Agregado'!Y16)/1000000</f>
        <v>0</v>
      </c>
      <c r="H16" s="166">
        <f>+G16/D16</f>
        <v>0</v>
      </c>
      <c r="I16" s="177" t="s">
        <v>709</v>
      </c>
    </row>
    <row r="17" spans="3:10" ht="51" customHeight="1" thickBot="1">
      <c r="C17" s="173" t="s">
        <v>482</v>
      </c>
      <c r="D17" s="168">
        <f>SUM(D13:D16)</f>
        <v>128808.29999999999</v>
      </c>
      <c r="E17" s="168">
        <f>SUM(E13:E16)</f>
        <v>34321.03085286</v>
      </c>
      <c r="F17" s="222">
        <f>+E17/D17</f>
        <v>0.26645046051271543</v>
      </c>
      <c r="G17" s="168">
        <f>SUM(G13:G16)</f>
        <v>12945.471186750001</v>
      </c>
      <c r="H17" s="222">
        <f>+G17/D17</f>
        <v>0.10050184022885172</v>
      </c>
      <c r="I17" s="174"/>
    </row>
    <row r="18" spans="3:10">
      <c r="D18" s="1">
        <f>+'Ejecución Agregado'!T37</f>
        <v>128808300000</v>
      </c>
      <c r="E18" s="1">
        <f>+'Ejecución Agregado'!X37</f>
        <v>34321030852.860001</v>
      </c>
      <c r="F18" s="1"/>
      <c r="G18" s="1">
        <f>+'Ejecución Agregado'!Y37</f>
        <v>12945471186.75</v>
      </c>
    </row>
    <row r="20" spans="3:10" ht="15" thickBot="1"/>
    <row r="21" spans="3:10" ht="27" customHeight="1">
      <c r="C21" s="453" t="s">
        <v>497</v>
      </c>
      <c r="D21" s="301" t="s">
        <v>483</v>
      </c>
      <c r="E21" s="453" t="s">
        <v>29</v>
      </c>
      <c r="F21" s="453" t="s">
        <v>498</v>
      </c>
      <c r="G21" s="453" t="s">
        <v>477</v>
      </c>
      <c r="H21" s="453" t="s">
        <v>499</v>
      </c>
    </row>
    <row r="22" spans="3:10" ht="15" thickBot="1">
      <c r="C22" s="454"/>
      <c r="D22" s="319" t="s">
        <v>500</v>
      </c>
      <c r="E22" s="454"/>
      <c r="F22" s="454"/>
      <c r="G22" s="454"/>
      <c r="H22" s="454"/>
    </row>
    <row r="23" spans="3:10" ht="57" customHeight="1" thickBot="1">
      <c r="C23" s="316" t="s">
        <v>501</v>
      </c>
      <c r="D23" s="317">
        <f>+DG!J13</f>
        <v>57348</v>
      </c>
      <c r="E23" s="317">
        <f>+DG!K13</f>
        <v>8067.2673492800004</v>
      </c>
      <c r="F23" s="318">
        <f>+E23/D23</f>
        <v>0.14067216553811818</v>
      </c>
      <c r="G23" s="317">
        <f>+DG!M13</f>
        <v>803.98956799999996</v>
      </c>
      <c r="H23" s="340">
        <f>+G23/D23</f>
        <v>1.4019487479946989E-2</v>
      </c>
    </row>
    <row r="24" spans="3:10" ht="55.5" customHeight="1" thickBot="1">
      <c r="C24" s="320" t="s">
        <v>502</v>
      </c>
      <c r="D24" s="321">
        <f>+SGPDN!L26</f>
        <v>89937.201505000005</v>
      </c>
      <c r="E24" s="321">
        <f>+SGPDN!M26</f>
        <v>50668.111848</v>
      </c>
      <c r="F24" s="322">
        <f>+E24/D24</f>
        <v>0.56337211965821665</v>
      </c>
      <c r="G24" s="321">
        <f>+SGPDN!O26</f>
        <v>3251.3761200000004</v>
      </c>
      <c r="H24" s="341">
        <f>+G24/D24</f>
        <v>3.6151626530421255E-2</v>
      </c>
    </row>
    <row r="25" spans="3:10" ht="64.5" customHeight="1" thickBot="1">
      <c r="C25" s="316" t="s">
        <v>503</v>
      </c>
      <c r="D25" s="317">
        <f>+SGISE!M17</f>
        <v>818857.90670000005</v>
      </c>
      <c r="E25" s="317">
        <f>+SGISE!N17</f>
        <v>607044.04514600011</v>
      </c>
      <c r="F25" s="318">
        <f>+E25/D25</f>
        <v>0.74133013820723737</v>
      </c>
      <c r="G25" s="317">
        <f>+SGISE!P17</f>
        <v>1487.4316939999999</v>
      </c>
      <c r="H25" s="340">
        <f>+G25/D25</f>
        <v>1.816471065162397E-3</v>
      </c>
      <c r="J25" s="413"/>
    </row>
    <row r="26" spans="3:10" ht="54" customHeight="1" thickBot="1">
      <c r="C26" s="320" t="s">
        <v>504</v>
      </c>
      <c r="D26" s="321">
        <f>+SGDDT!M20</f>
        <v>53749.209000000003</v>
      </c>
      <c r="E26" s="321">
        <f>+SGDDT!N20</f>
        <v>17449.600837999998</v>
      </c>
      <c r="F26" s="322">
        <f t="shared" ref="F26:F31" si="0">+E26/D26</f>
        <v>0.32464851413906387</v>
      </c>
      <c r="G26" s="321">
        <f>+SGDDT!P20</f>
        <v>1284.3699320000001</v>
      </c>
      <c r="H26" s="341">
        <f t="shared" ref="H26:H31" si="1">+G26/D26</f>
        <v>2.3895606203246638E-2</v>
      </c>
      <c r="I26" s="411"/>
      <c r="J26" s="412"/>
    </row>
    <row r="27" spans="3:10" ht="47.25" customHeight="1" thickBot="1">
      <c r="C27" s="323" t="s">
        <v>505</v>
      </c>
      <c r="D27" s="324">
        <f>+SG!L17</f>
        <v>24211</v>
      </c>
      <c r="E27" s="324">
        <f>+SG!M17</f>
        <v>5114.982836000001</v>
      </c>
      <c r="F27" s="325">
        <f t="shared" si="0"/>
        <v>0.21126689669984722</v>
      </c>
      <c r="G27" s="324">
        <f>+SG!O17</f>
        <v>456.73996899999997</v>
      </c>
      <c r="H27" s="342">
        <f t="shared" si="1"/>
        <v>1.8864977448267317E-2</v>
      </c>
    </row>
    <row r="28" spans="3:10" ht="33.75" hidden="1" customHeight="1">
      <c r="C28" s="332" t="s">
        <v>506</v>
      </c>
      <c r="D28" s="333"/>
      <c r="E28" s="333"/>
      <c r="F28" s="334"/>
      <c r="G28" s="333"/>
      <c r="H28" s="334"/>
    </row>
    <row r="29" spans="3:10" ht="95.25" hidden="1" customHeight="1">
      <c r="C29" s="329" t="s">
        <v>507</v>
      </c>
      <c r="D29" s="330">
        <f>8000000000/1000000-8000</f>
        <v>0</v>
      </c>
      <c r="E29" s="330">
        <v>0</v>
      </c>
      <c r="F29" s="331">
        <v>0</v>
      </c>
      <c r="G29" s="330">
        <v>0</v>
      </c>
      <c r="H29" s="331">
        <v>0</v>
      </c>
    </row>
    <row r="30" spans="3:10" ht="102.75" hidden="1" customHeight="1" thickBot="1">
      <c r="C30" s="328" t="s">
        <v>508</v>
      </c>
      <c r="D30" s="326">
        <f>4100000000/1000000-4100</f>
        <v>0</v>
      </c>
      <c r="E30" s="326">
        <v>0</v>
      </c>
      <c r="F30" s="327">
        <v>0</v>
      </c>
      <c r="G30" s="326">
        <v>0</v>
      </c>
      <c r="H30" s="327">
        <v>0</v>
      </c>
    </row>
    <row r="31" spans="3:10" ht="43.5" customHeight="1" thickBot="1">
      <c r="C31" s="335" t="s">
        <v>509</v>
      </c>
      <c r="D31" s="336">
        <f>SUM(D23:D30)</f>
        <v>1044103.3172050001</v>
      </c>
      <c r="E31" s="336">
        <f>SUM(E23:E30)</f>
        <v>688344.00801728014</v>
      </c>
      <c r="F31" s="337">
        <f t="shared" si="0"/>
        <v>0.65926809796939867</v>
      </c>
      <c r="G31" s="336">
        <f>SUM(G23:G30)</f>
        <v>7283.9072830000005</v>
      </c>
      <c r="H31" s="339">
        <f t="shared" si="1"/>
        <v>6.9762322971050113E-3</v>
      </c>
      <c r="I31" s="338"/>
    </row>
    <row r="33" spans="3:7">
      <c r="C33" t="s">
        <v>510</v>
      </c>
      <c r="D33" s="255">
        <f>+'Ejecución Agregado'!T39/1000000</f>
        <v>1044103.317205</v>
      </c>
      <c r="E33" s="1">
        <f>+'Ejecución Agregado'!X39/1000000</f>
        <v>688344.00801728002</v>
      </c>
      <c r="F33" s="1"/>
      <c r="G33" s="255">
        <f>+'Ejecución Agregado'!Y39/1000000</f>
        <v>7283.9072829999996</v>
      </c>
    </row>
    <row r="34" spans="3:7">
      <c r="D34" s="268">
        <f>+D31-D33</f>
        <v>0</v>
      </c>
      <c r="E34" s="268">
        <f>+E31-E33</f>
        <v>0</v>
      </c>
      <c r="F34" s="258"/>
      <c r="G34" s="268">
        <f>+G31-G33</f>
        <v>0</v>
      </c>
    </row>
    <row r="39" spans="3:7">
      <c r="D39" s="217"/>
    </row>
  </sheetData>
  <mergeCells count="11">
    <mergeCell ref="I11:I12"/>
    <mergeCell ref="C21:C22"/>
    <mergeCell ref="E21:E22"/>
    <mergeCell ref="F21:F22"/>
    <mergeCell ref="G21:G22"/>
    <mergeCell ref="H21:H22"/>
    <mergeCell ref="C11:C12"/>
    <mergeCell ref="E11:E12"/>
    <mergeCell ref="F11:F12"/>
    <mergeCell ref="G11:G12"/>
    <mergeCell ref="H11:H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N7" sqref="N7"/>
    </sheetView>
  </sheetViews>
  <sheetFormatPr baseColWidth="10" defaultColWidth="11.44140625" defaultRowHeight="15.6"/>
  <cols>
    <col min="1" max="1" width="21.5546875" style="34" customWidth="1"/>
    <col min="2" max="2" width="24.33203125" style="25" customWidth="1"/>
    <col min="3" max="3" width="45" style="25" hidden="1" customWidth="1"/>
    <col min="4" max="4" width="5.88671875" style="34" hidden="1" customWidth="1"/>
    <col min="5" max="5" width="8.88671875" style="25" hidden="1" customWidth="1"/>
    <col min="6" max="6" width="16.109375" style="25" customWidth="1"/>
    <col min="7" max="7" width="17.5546875" style="25" customWidth="1"/>
    <col min="8" max="8" width="12" style="25" customWidth="1"/>
    <col min="9" max="9" width="16.109375" style="25" customWidth="1"/>
    <col min="10" max="10" width="12.5546875" style="25" customWidth="1"/>
    <col min="11" max="16384" width="11.44140625" style="25"/>
  </cols>
  <sheetData>
    <row r="1" spans="1:10" ht="17.25" customHeight="1" thickTop="1">
      <c r="A1" s="470" t="s">
        <v>511</v>
      </c>
      <c r="B1" s="471" t="s">
        <v>512</v>
      </c>
      <c r="C1" s="471" t="s">
        <v>513</v>
      </c>
      <c r="D1" s="473" t="s">
        <v>514</v>
      </c>
      <c r="E1" s="471"/>
      <c r="F1" s="455" t="s">
        <v>515</v>
      </c>
      <c r="G1" s="471" t="s">
        <v>516</v>
      </c>
      <c r="H1" s="455" t="s">
        <v>517</v>
      </c>
      <c r="I1" s="471" t="s">
        <v>518</v>
      </c>
      <c r="J1" s="455" t="s">
        <v>519</v>
      </c>
    </row>
    <row r="2" spans="1:10" ht="30" customHeight="1" thickBot="1">
      <c r="A2" s="456"/>
      <c r="B2" s="472"/>
      <c r="C2" s="472"/>
      <c r="D2" s="473"/>
      <c r="E2" s="472"/>
      <c r="F2" s="456"/>
      <c r="G2" s="472"/>
      <c r="H2" s="456"/>
      <c r="I2" s="472"/>
      <c r="J2" s="456"/>
    </row>
    <row r="3" spans="1:10" ht="22.2" thickTop="1">
      <c r="A3" s="469" t="s">
        <v>520</v>
      </c>
      <c r="B3" s="85" t="str">
        <f>+'Ejecución Agregado'!C17</f>
        <v>C-0301-1000-18-51102E</v>
      </c>
      <c r="C3" s="27" t="str">
        <f>+'Ejecución Agregado'!P17</f>
        <v>5. CONVERGENCIA REGIONAL / E. PLANEACIÓN Y GESTIÓN TERRITORIAL INTELIGENTE</v>
      </c>
      <c r="D3" s="75" t="str">
        <f>+'Ejecución Agregado'!N17</f>
        <v>10</v>
      </c>
      <c r="E3" s="26" t="str">
        <f>+'Ejecución Agregado'!M17</f>
        <v>Nación</v>
      </c>
      <c r="F3" s="51">
        <f>+'Ejecución Agregado'!T17/1000000</f>
        <v>746490.90670000005</v>
      </c>
      <c r="G3" s="40">
        <f>+'Ejecución Agregado'!X17/1000000</f>
        <v>585440.95638900006</v>
      </c>
      <c r="H3" s="57">
        <f>+G3/F3</f>
        <v>0.78425731798535792</v>
      </c>
      <c r="I3" s="43">
        <f>+'Ejecución Agregado'!Y17/1000000</f>
        <v>0</v>
      </c>
      <c r="J3" s="57">
        <f>+I3/F3</f>
        <v>0</v>
      </c>
    </row>
    <row r="4" spans="1:10" ht="21.6">
      <c r="A4" s="469"/>
      <c r="B4" s="86" t="str">
        <f>+'Ejecución Agregado'!C18</f>
        <v>C-0301-1000-20-51102E</v>
      </c>
      <c r="C4" s="29" t="str">
        <f>+'Ejecución Agregado'!P18</f>
        <v>5. CONVERGENCIA REGIONAL / E. PLANEACIÓN Y GESTIÓN TERRITORIAL INTELIGENTE</v>
      </c>
      <c r="D4" s="76" t="str">
        <f>+'Ejecución Agregado'!N18</f>
        <v>13</v>
      </c>
      <c r="E4" s="30" t="s">
        <v>521</v>
      </c>
      <c r="F4" s="50">
        <f>+'Ejecución Agregado'!T18/1000000</f>
        <v>8000</v>
      </c>
      <c r="G4" s="41">
        <f>+'Ejecución Agregado'!X18/1000000</f>
        <v>0</v>
      </c>
      <c r="H4" s="56">
        <f t="shared" ref="H4:H17" si="0">+G4/F4</f>
        <v>0</v>
      </c>
      <c r="I4" s="42">
        <f>+'Ejecución Agregado'!Y18/1000000</f>
        <v>0</v>
      </c>
      <c r="J4" s="56">
        <f t="shared" ref="J4:J17" si="1">+I4/F4</f>
        <v>0</v>
      </c>
    </row>
    <row r="5" spans="1:10" ht="21.6">
      <c r="A5" s="469"/>
      <c r="B5" s="86" t="str">
        <f>+'Ejecución Agregado'!C19</f>
        <v>C-0301-1000-20-51102E</v>
      </c>
      <c r="C5" s="31" t="str">
        <f>+'Ejecución Agregado'!P19</f>
        <v>5. CONVERGENCIA REGIONAL / E. PLANEACIÓN Y GESTIÓN TERRITORIAL INTELIGENTE</v>
      </c>
      <c r="D5" s="77" t="str">
        <f>+'Ejecución Agregado'!N19</f>
        <v>14</v>
      </c>
      <c r="E5" s="28" t="s">
        <v>521</v>
      </c>
      <c r="F5" s="51">
        <f>+'Ejecución Agregado'!T19/1000000</f>
        <v>6028.2089999999998</v>
      </c>
      <c r="G5" s="43">
        <f>+'Ejecución Agregado'!X19/1000000</f>
        <v>3931.5282080000002</v>
      </c>
      <c r="H5" s="57">
        <f t="shared" si="0"/>
        <v>0.65218843739492116</v>
      </c>
      <c r="I5" s="43">
        <f>+'Ejecución Agregado'!Y19/1000000</f>
        <v>0</v>
      </c>
      <c r="J5" s="57">
        <f t="shared" si="1"/>
        <v>0</v>
      </c>
    </row>
    <row r="6" spans="1:10" ht="32.4">
      <c r="A6" s="469"/>
      <c r="B6" s="85" t="str">
        <f>+'Ejecución Agregado'!C20</f>
        <v>C-0301-1000-22-10305B</v>
      </c>
      <c r="C6" s="29" t="str">
        <f>+'Ejecución Agregado'!P20</f>
        <v>1. ORDENAMIENTO DEL TERRITORIO ALREDEDOR DEL AGUA Y JUSTICIA AMBIENTAL / B. ACTUALIZACIÓN CATASTRAL MULTIPROPÓSITO</v>
      </c>
      <c r="D6" s="76">
        <v>11</v>
      </c>
      <c r="E6" s="30" t="s">
        <v>522</v>
      </c>
      <c r="F6" s="50">
        <f>+'Ejecución Agregado'!T20/1000000</f>
        <v>20500</v>
      </c>
      <c r="G6" s="41">
        <f>+'Ejecución Agregado'!X20/1000000</f>
        <v>4031.0974679999999</v>
      </c>
      <c r="H6" s="56">
        <f t="shared" si="0"/>
        <v>0.19663890087804878</v>
      </c>
      <c r="I6" s="41">
        <f>+'Ejecución Agregado'!Y20/1000000</f>
        <v>203.096405</v>
      </c>
      <c r="J6" s="56">
        <f t="shared" si="1"/>
        <v>9.9071417073170742E-3</v>
      </c>
    </row>
    <row r="7" spans="1:10" ht="21.6">
      <c r="A7" s="469"/>
      <c r="B7" s="87" t="str">
        <f>+'Ejecución Agregado'!C21</f>
        <v>C-0301-1000-29-52104E</v>
      </c>
      <c r="C7" s="31" t="str">
        <f>+'Ejecución Agregado'!P21</f>
        <v>5. CONVERGENCIA REGIONAL / E. INFRAESTRUCTURA Y SERVICIOS LOGÍSTICOS</v>
      </c>
      <c r="D7" s="77" t="str">
        <f>+'Ejecución Agregado'!N21</f>
        <v>14</v>
      </c>
      <c r="E7" s="28" t="s">
        <v>522</v>
      </c>
      <c r="F7" s="51">
        <f>+'Ejecución Agregado'!T21/1000000</f>
        <v>15666.171505</v>
      </c>
      <c r="G7" s="43">
        <f>+'Ejecución Agregado'!X21/1000000</f>
        <v>8447.7687600000008</v>
      </c>
      <c r="H7" s="57">
        <f t="shared" si="0"/>
        <v>0.53923632569092061</v>
      </c>
      <c r="I7" s="43">
        <f>+'Ejecución Agregado'!Y21/1000000</f>
        <v>260.15210100000002</v>
      </c>
      <c r="J7" s="57">
        <f t="shared" si="1"/>
        <v>1.6605978104923091E-2</v>
      </c>
    </row>
    <row r="8" spans="1:10" ht="21.6">
      <c r="A8" s="469"/>
      <c r="B8" s="87" t="str">
        <f>+'Ejecución Agregado'!C22</f>
        <v>C-0301-1000-30-52104E</v>
      </c>
      <c r="C8" s="29" t="str">
        <f>+'Ejecución Agregado'!P22</f>
        <v>5. CONVERGENCIA REGIONAL / E. INFRAESTRUCTURA Y SERVICIOS LOGÍSTICOS</v>
      </c>
      <c r="D8" s="76" t="str">
        <f>+'Ejecución Agregado'!N22</f>
        <v>14</v>
      </c>
      <c r="E8" s="30" t="s">
        <v>521</v>
      </c>
      <c r="F8" s="50">
        <f>+'Ejecución Agregado'!T22/1000000</f>
        <v>15603.53</v>
      </c>
      <c r="G8" s="41">
        <f>+'Ejecución Agregado'!X22/1000000</f>
        <v>9337.5884920000008</v>
      </c>
      <c r="H8" s="56">
        <f t="shared" si="0"/>
        <v>0.598427951367415</v>
      </c>
      <c r="I8" s="41">
        <f>+'Ejecución Agregado'!Y22/1000000</f>
        <v>329.95608299999998</v>
      </c>
      <c r="J8" s="56">
        <f t="shared" si="1"/>
        <v>2.1146245945628969E-2</v>
      </c>
    </row>
    <row r="9" spans="1:10" ht="21.6">
      <c r="A9" s="469"/>
      <c r="B9" s="87" t="str">
        <f>+'Ejecución Agregado'!C23</f>
        <v>C-0301-1000-31-53105B</v>
      </c>
      <c r="C9" s="31" t="str">
        <f>+'Ejecución Agregado'!P23</f>
        <v>5. CONVERGENCIA REGIONAL / B. ENTIDADES PÚBLICAS TERRITORIALES Y NACIONALES FORTALECIDAS</v>
      </c>
      <c r="D9" s="77" t="str">
        <f>+'Ejecución Agregado'!N23</f>
        <v>11</v>
      </c>
      <c r="E9" s="28" t="s">
        <v>521</v>
      </c>
      <c r="F9" s="51">
        <f>+'Ejecución Agregado'!T23/1000000</f>
        <v>30000</v>
      </c>
      <c r="G9" s="43">
        <f>+'Ejecución Agregado'!X23/1000000</f>
        <v>0</v>
      </c>
      <c r="H9" s="57">
        <f t="shared" si="0"/>
        <v>0</v>
      </c>
      <c r="I9" s="43">
        <f>+'Ejecución Agregado'!Y23/1000000</f>
        <v>0</v>
      </c>
      <c r="J9" s="57">
        <f t="shared" si="1"/>
        <v>0</v>
      </c>
    </row>
    <row r="10" spans="1:10" ht="32.4">
      <c r="A10" s="469"/>
      <c r="B10" s="85" t="str">
        <f>+'Ejecución Agregado'!C24</f>
        <v>C-0301-1000-33-53105F</v>
      </c>
      <c r="C10" s="31" t="str">
        <f>+'Ejecución Agregado'!P24</f>
        <v>5. CONVERGENCIA REGIONAL / F. EFICIENCIA INSTITUCIONAL PARA EL CUMPLIMIENTO DE LOS ACUERDOS REALIZADOS CON LAS COMUNIDADES</v>
      </c>
      <c r="D10" s="76" t="str">
        <f>+'Ejecución Agregado'!N24</f>
        <v>11</v>
      </c>
      <c r="E10" s="30" t="s">
        <v>523</v>
      </c>
      <c r="F10" s="50">
        <f>+'Ejecución Agregado'!T24/1000000</f>
        <v>51627.5</v>
      </c>
      <c r="G10" s="41">
        <f>+'Ejecución Agregado'!X24/1000000</f>
        <v>30280.936318</v>
      </c>
      <c r="H10" s="56">
        <f t="shared" si="0"/>
        <v>0.58652726391942278</v>
      </c>
      <c r="I10" s="41">
        <f>+'Ejecución Agregado'!Y24/1000000</f>
        <v>2466.5978340000001</v>
      </c>
      <c r="J10" s="56">
        <f t="shared" si="1"/>
        <v>4.7776821151518087E-2</v>
      </c>
    </row>
    <row r="11" spans="1:10" ht="21.6">
      <c r="A11" s="469"/>
      <c r="B11" s="87" t="str">
        <f>+'Ejecución Agregado'!C25</f>
        <v>C-0301-1000-34-53105B</v>
      </c>
      <c r="C11" s="31" t="str">
        <f>+'Ejecución Agregado'!P25</f>
        <v>5. CONVERGENCIA REGIONAL / B. ENTIDADES PÚBLICAS TERRITORIALES Y NACIONALES FORTALECIDAS</v>
      </c>
      <c r="D11" s="77" t="str">
        <f>+'Ejecución Agregado'!N25</f>
        <v>11</v>
      </c>
      <c r="E11" s="28" t="s">
        <v>522</v>
      </c>
      <c r="F11" s="51">
        <f>+'Ejecución Agregado'!T25/1000000</f>
        <v>19221</v>
      </c>
      <c r="G11" s="43">
        <f>+'Ejecución Agregado'!X25/1000000</f>
        <v>9486.9751620000006</v>
      </c>
      <c r="H11" s="57">
        <f t="shared" si="0"/>
        <v>0.49357344373341661</v>
      </c>
      <c r="I11" s="43">
        <f>+'Ejecución Agregado'!Y25/1000000</f>
        <v>1081.2735270000001</v>
      </c>
      <c r="J11" s="57">
        <f t="shared" si="1"/>
        <v>5.6254800842828162E-2</v>
      </c>
    </row>
    <row r="12" spans="1:10" ht="32.4">
      <c r="A12" s="469"/>
      <c r="B12" s="86" t="str">
        <f>+'Ejecución Agregado'!C26</f>
        <v>C-0301-1000-35-53105F</v>
      </c>
      <c r="C12" s="31" t="str">
        <f>+'Ejecución Agregado'!P26</f>
        <v>5. CONVERGENCIA REGIONAL / F. EFICIENCIA INSTITUCIONAL PARA EL CUMPLIMIENTO DE LOS ACUERDOS REALIZADOS CON LAS COMUNIDADES</v>
      </c>
      <c r="D12" s="76" t="str">
        <f>+'Ejecución Agregado'!N26</f>
        <v>11</v>
      </c>
      <c r="E12" s="30" t="s">
        <v>522</v>
      </c>
      <c r="F12" s="50">
        <f>+'Ejecución Agregado'!T26/1000000</f>
        <v>4348</v>
      </c>
      <c r="G12" s="41">
        <f>+'Ejecución Agregado'!X26/1000000</f>
        <v>1885.6953410000001</v>
      </c>
      <c r="H12" s="56">
        <f t="shared" si="0"/>
        <v>0.43369258072677097</v>
      </c>
      <c r="I12" s="41">
        <f>+'Ejecución Agregado'!Y26/1000000</f>
        <v>190.22370000000001</v>
      </c>
      <c r="J12" s="56">
        <f t="shared" si="1"/>
        <v>4.3749701011959526E-2</v>
      </c>
    </row>
    <row r="13" spans="1:10" ht="32.4">
      <c r="A13" s="469"/>
      <c r="B13" s="28" t="str">
        <f>+'Ejecución Agregado'!C27</f>
        <v>C-0301-1000-38-53105F</v>
      </c>
      <c r="C13" s="31" t="str">
        <f>+'Ejecución Agregado'!P27</f>
        <v>5. CONVERGENCIA REGIONAL / F. EFICIENCIA INSTITUCIONAL PARA EL CUMPLIMIENTO DE LOS ACUERDOS REALIZADOS CON LAS COMUNIDADES</v>
      </c>
      <c r="D13" s="77" t="str">
        <f>+'Ejecución Agregado'!N27</f>
        <v>11</v>
      </c>
      <c r="E13" s="28" t="s">
        <v>522</v>
      </c>
      <c r="F13" s="51">
        <f>+'Ejecución Agregado'!T27/1000000</f>
        <v>21000</v>
      </c>
      <c r="G13" s="43">
        <f>+'Ejecución Agregado'!X27/1000000</f>
        <v>7784.0945659999998</v>
      </c>
      <c r="H13" s="57">
        <f t="shared" si="0"/>
        <v>0.3706711698095238</v>
      </c>
      <c r="I13" s="43">
        <f>+'Ejecución Agregado'!Y27/1000000</f>
        <v>368.04021999999998</v>
      </c>
      <c r="J13" s="57">
        <f t="shared" si="1"/>
        <v>1.7525724761904761E-2</v>
      </c>
    </row>
    <row r="14" spans="1:10" ht="32.4">
      <c r="A14" s="469"/>
      <c r="B14" s="85" t="str">
        <f>+'Ejecución Agregado'!C28</f>
        <v>C-0301-1000-39-53105F</v>
      </c>
      <c r="C14" s="31" t="str">
        <f>+'Ejecución Agregado'!P28</f>
        <v>5. CONVERGENCIA REGIONAL / F. EFICIENCIA INSTITUCIONAL PARA EL CUMPLIMIENTO DE LOS ACUERDOS REALIZADOS CON LAS COMUNIDADES</v>
      </c>
      <c r="D14" s="76" t="str">
        <f>+'Ejecución Agregado'!N28</f>
        <v>11</v>
      </c>
      <c r="E14" s="30" t="s">
        <v>522</v>
      </c>
      <c r="F14" s="50">
        <f>+'Ejecución Agregado'!T28/1000000</f>
        <v>7040</v>
      </c>
      <c r="G14" s="41">
        <f>+'Ejecución Agregado'!X28/1000000</f>
        <v>2601.8182780000002</v>
      </c>
      <c r="H14" s="56">
        <f t="shared" si="0"/>
        <v>0.36957645994318183</v>
      </c>
      <c r="I14" s="41">
        <f>+'Ejecución Agregado'!Y28/1000000</f>
        <v>194.67010200000001</v>
      </c>
      <c r="J14" s="56">
        <f t="shared" si="1"/>
        <v>2.7652003125000001E-2</v>
      </c>
    </row>
    <row r="15" spans="1:10" ht="21.6">
      <c r="A15" s="469"/>
      <c r="B15" s="85" t="str">
        <f>+'Ejecución Agregado'!C29</f>
        <v>C-0301-1000-40-803001</v>
      </c>
      <c r="C15" s="31" t="str">
        <f>+'Ejecución Agregado'!P29</f>
        <v>8. ESTABILIDAD MACROECONÓMICA / 1. ADMINISTRACIÓN EFICIENTE DE LOS RECURSOS PÚBLICOS</v>
      </c>
      <c r="D15" s="77" t="str">
        <f>+'Ejecución Agregado'!N29</f>
        <v>11</v>
      </c>
      <c r="E15" s="28" t="s">
        <v>522</v>
      </c>
      <c r="F15" s="51">
        <f>+'Ejecución Agregado'!T29/1000000</f>
        <v>21367</v>
      </c>
      <c r="G15" s="43">
        <f>+'Ejecución Agregado'!X29/1000000</f>
        <v>13818.994191</v>
      </c>
      <c r="H15" s="57">
        <f t="shared" si="0"/>
        <v>0.64674470870969247</v>
      </c>
      <c r="I15" s="43">
        <f>+'Ejecución Agregado'!Y29/1000000</f>
        <v>1119.391474</v>
      </c>
      <c r="J15" s="57">
        <f t="shared" si="1"/>
        <v>5.2388799269902184E-2</v>
      </c>
    </row>
    <row r="16" spans="1:10" ht="22.2" thickBot="1">
      <c r="A16" s="469"/>
      <c r="B16" s="85" t="str">
        <f>+'Ejecución Agregado'!C30</f>
        <v>C-0399-1000-7-53105B</v>
      </c>
      <c r="C16" s="31" t="str">
        <f>+'Ejecución Agregado'!P30</f>
        <v>5. CONVERGENCIA REGIONAL / B. ENTIDADES PÚBLICAS TERRITORIALES Y NACIONALES FORTALECIDAS</v>
      </c>
      <c r="D16" s="76" t="str">
        <f>+'Ejecución Agregado'!N30</f>
        <v>11</v>
      </c>
      <c r="E16" s="30" t="s">
        <v>522</v>
      </c>
      <c r="F16" s="50">
        <f>+'Ejecución Agregado'!T30/1000000</f>
        <v>13511</v>
      </c>
      <c r="G16" s="41">
        <f>+'Ejecución Agregado'!X30/1000000</f>
        <v>261.68695000000002</v>
      </c>
      <c r="H16" s="56">
        <f t="shared" si="0"/>
        <v>1.9368436829250241E-2</v>
      </c>
      <c r="I16" s="41">
        <f>+'Ejecución Agregado'!Y30/1000000</f>
        <v>34.319600000000001</v>
      </c>
      <c r="J16" s="56">
        <f t="shared" si="1"/>
        <v>2.5401228628524905E-3</v>
      </c>
    </row>
    <row r="17" spans="1:10" s="35" customFormat="1" ht="41.25" customHeight="1" thickTop="1" thickBot="1">
      <c r="A17" s="460" t="s">
        <v>524</v>
      </c>
      <c r="B17" s="461"/>
      <c r="C17" s="461"/>
      <c r="D17" s="461"/>
      <c r="E17" s="462"/>
      <c r="F17" s="73">
        <f>SUM(F3:F16)</f>
        <v>980403.31720500009</v>
      </c>
      <c r="G17" s="54">
        <f>SUM(G3:G16)</f>
        <v>677309.14012300014</v>
      </c>
      <c r="H17" s="58">
        <f t="shared" si="0"/>
        <v>0.69084745862949415</v>
      </c>
      <c r="I17" s="54">
        <f>SUM(I3:I16)</f>
        <v>6247.7210460000006</v>
      </c>
      <c r="J17" s="58">
        <f t="shared" si="1"/>
        <v>6.3726029240817189E-3</v>
      </c>
    </row>
    <row r="18" spans="1:10" ht="146.25" customHeight="1" thickTop="1" thickBot="1">
      <c r="A18" s="36" t="s">
        <v>525</v>
      </c>
      <c r="B18" s="88" t="str">
        <f>+'Ejecución Agregado'!C31</f>
        <v>C-0399-1000-8-53105B</v>
      </c>
      <c r="C18" s="70" t="str">
        <f>+'Ejecución Agregado'!P31</f>
        <v>5. CONVERGENCIA REGIONAL / B. ENTIDADES PÚBLICAS TERRITORIALES Y NACIONALES FORTALECIDAS</v>
      </c>
      <c r="D18" s="71" t="str">
        <f>+'Ejecución Agregado'!N31</f>
        <v>11</v>
      </c>
      <c r="E18" s="72" t="s">
        <v>522</v>
      </c>
      <c r="F18" s="52">
        <f>+'Ejecución Agregado'!T31/1000000</f>
        <v>53000</v>
      </c>
      <c r="G18" s="44">
        <f>+'Ejecución Agregado'!X31/1000000</f>
        <v>6181.5720082799999</v>
      </c>
      <c r="H18" s="59">
        <f t="shared" ref="H18:H24" si="2">+G18/F18</f>
        <v>0.11663343411849056</v>
      </c>
      <c r="I18" s="44">
        <f>+'Ejecución Agregado'!Y31/1000000</f>
        <v>613.76586799999995</v>
      </c>
      <c r="J18" s="59">
        <f t="shared" ref="J18:J24" si="3">+I18/F18</f>
        <v>1.1580488075471696E-2</v>
      </c>
    </row>
    <row r="19" spans="1:10" s="35" customFormat="1" ht="27" customHeight="1" thickTop="1" thickBot="1">
      <c r="A19" s="463" t="s">
        <v>526</v>
      </c>
      <c r="B19" s="461"/>
      <c r="C19" s="461"/>
      <c r="D19" s="461"/>
      <c r="E19" s="464"/>
      <c r="F19" s="69">
        <f>+F18</f>
        <v>53000</v>
      </c>
      <c r="G19" s="54">
        <f>+G18</f>
        <v>6181.5720082799999</v>
      </c>
      <c r="H19" s="58">
        <f t="shared" si="2"/>
        <v>0.11663343411849056</v>
      </c>
      <c r="I19" s="54">
        <f>+I18</f>
        <v>613.76586799999995</v>
      </c>
      <c r="J19" s="58">
        <f t="shared" si="3"/>
        <v>1.1580488075471696E-2</v>
      </c>
    </row>
    <row r="20" spans="1:10" ht="22.2" thickTop="1">
      <c r="A20" s="467" t="s">
        <v>527</v>
      </c>
      <c r="B20" s="89" t="str">
        <f>+'Ejecución Agregado'!C32</f>
        <v>C-0399-1000-9-53105B</v>
      </c>
      <c r="C20" s="31" t="str">
        <f>+'Ejecución Agregado'!P32</f>
        <v>5. CONVERGENCIA REGIONAL / B. ENTIDADES PÚBLICAS TERRITORIALES Y NACIONALES FORTALECIDAS</v>
      </c>
      <c r="D20" s="48" t="str">
        <f>+'Ejecución Agregado'!N32</f>
        <v>11</v>
      </c>
      <c r="E20" s="28" t="s">
        <v>522</v>
      </c>
      <c r="F20" s="53">
        <f>+'Ejecución Agregado'!T32/1000000</f>
        <v>10700</v>
      </c>
      <c r="G20" s="40">
        <f>+'Ejecución Agregado'!X32/1000000</f>
        <v>4853.2958859999999</v>
      </c>
      <c r="H20" s="60">
        <f t="shared" si="2"/>
        <v>0.45357905476635513</v>
      </c>
      <c r="I20" s="40">
        <f>+'Ejecución Agregado'!Y32/1000000</f>
        <v>422.42036899999999</v>
      </c>
      <c r="J20" s="60">
        <f t="shared" si="3"/>
        <v>3.9478539158878501E-2</v>
      </c>
    </row>
    <row r="21" spans="1:10" ht="15">
      <c r="A21" s="467"/>
      <c r="B21" s="90" t="e">
        <f>+'Ejecución Agregado'!#REF!</f>
        <v>#REF!</v>
      </c>
      <c r="C21" s="29" t="e">
        <f>+'Ejecución Agregado'!#REF!</f>
        <v>#REF!</v>
      </c>
      <c r="D21" s="47" t="e">
        <f>+'Ejecución Agregado'!#REF!</f>
        <v>#REF!</v>
      </c>
      <c r="E21" s="30" t="s">
        <v>523</v>
      </c>
      <c r="F21" s="50" t="e">
        <f>+'Ejecución Agregado'!#REF!/1000000</f>
        <v>#REF!</v>
      </c>
      <c r="G21" s="42" t="e">
        <f>+'Ejecución Agregado'!#REF!/1000000</f>
        <v>#REF!</v>
      </c>
      <c r="H21" s="61" t="e">
        <f t="shared" si="2"/>
        <v>#REF!</v>
      </c>
      <c r="I21" s="42" t="e">
        <f>+'Ejecución Agregado'!#REF!/1000000</f>
        <v>#REF!</v>
      </c>
      <c r="J21" s="61" t="e">
        <f t="shared" si="3"/>
        <v>#REF!</v>
      </c>
    </row>
    <row r="22" spans="1:10" thickBot="1">
      <c r="A22" s="468"/>
      <c r="B22" s="66" t="e">
        <f>+'Ejecución Agregado'!#REF!</f>
        <v>#REF!</v>
      </c>
      <c r="C22" s="33" t="e">
        <f>+'Ejecución Agregado'!#REF!</f>
        <v>#REF!</v>
      </c>
      <c r="D22" s="67" t="e">
        <f>+'Ejecución Agregado'!#REF!</f>
        <v>#REF!</v>
      </c>
      <c r="E22" s="32" t="s">
        <v>522</v>
      </c>
      <c r="F22" s="68" t="e">
        <f>+'Ejecución Agregado'!#REF!/1000000</f>
        <v>#REF!</v>
      </c>
      <c r="G22" s="45" t="e">
        <f>+'Ejecución Agregado'!#REF!/1000000</f>
        <v>#REF!</v>
      </c>
      <c r="H22" s="64" t="e">
        <f t="shared" si="2"/>
        <v>#REF!</v>
      </c>
      <c r="I22" s="45" t="e">
        <f>+'Ejecución Agregado'!#REF!/1000000</f>
        <v>#REF!</v>
      </c>
      <c r="J22" s="64" t="e">
        <f t="shared" si="3"/>
        <v>#REF!</v>
      </c>
    </row>
    <row r="23" spans="1:10" s="35" customFormat="1" ht="36" customHeight="1" thickTop="1" thickBot="1">
      <c r="A23" s="465" t="s">
        <v>528</v>
      </c>
      <c r="B23" s="466"/>
      <c r="C23" s="466"/>
      <c r="D23" s="466"/>
      <c r="E23" s="462"/>
      <c r="F23" s="49" t="e">
        <f>SUM(F20:F22)</f>
        <v>#REF!</v>
      </c>
      <c r="G23" s="38" t="e">
        <f>SUM(G20:G22)</f>
        <v>#REF!</v>
      </c>
      <c r="H23" s="55" t="e">
        <f t="shared" si="2"/>
        <v>#REF!</v>
      </c>
      <c r="I23" s="62" t="e">
        <f>SUM(I20:I22)</f>
        <v>#REF!</v>
      </c>
      <c r="J23" s="65" t="e">
        <f t="shared" si="3"/>
        <v>#REF!</v>
      </c>
    </row>
    <row r="24" spans="1:10" s="34" customFormat="1" ht="35.25" customHeight="1" thickTop="1" thickBot="1">
      <c r="A24" s="457" t="s">
        <v>529</v>
      </c>
      <c r="B24" s="458"/>
      <c r="C24" s="458"/>
      <c r="D24" s="458"/>
      <c r="E24" s="459"/>
      <c r="F24" s="39" t="e">
        <f>+F17+F19+F23</f>
        <v>#REF!</v>
      </c>
      <c r="G24" s="39" t="e">
        <f>+G17+G19+G23</f>
        <v>#REF!</v>
      </c>
      <c r="H24" s="37" t="e">
        <f t="shared" si="2"/>
        <v>#REF!</v>
      </c>
      <c r="I24" s="39" t="e">
        <f>+I17+I19+I23</f>
        <v>#REF!</v>
      </c>
      <c r="J24" s="63" t="e">
        <f t="shared" si="3"/>
        <v>#REF!</v>
      </c>
    </row>
    <row r="25" spans="1:10" ht="16.2" thickTop="1">
      <c r="F25" s="46"/>
      <c r="G25" s="46"/>
      <c r="H25" s="34"/>
      <c r="I25" s="34"/>
      <c r="J25" s="34"/>
    </row>
    <row r="26" spans="1:10">
      <c r="F26" s="34"/>
      <c r="G26" s="34"/>
      <c r="H26" s="34"/>
      <c r="I26" s="34"/>
      <c r="J26" s="34"/>
    </row>
    <row r="27" spans="1:10">
      <c r="F27" s="34"/>
      <c r="G27" s="34"/>
      <c r="H27" s="34"/>
      <c r="I27" s="34"/>
      <c r="J27" s="34"/>
    </row>
    <row r="28" spans="1:10">
      <c r="F28" s="34"/>
      <c r="G28" s="34"/>
      <c r="H28" s="34"/>
      <c r="I28" s="34"/>
      <c r="J28" s="34"/>
    </row>
    <row r="29" spans="1:10">
      <c r="F29" s="34"/>
      <c r="G29" s="34"/>
      <c r="H29" s="34"/>
      <c r="I29" s="34"/>
      <c r="J29" s="34"/>
    </row>
    <row r="30" spans="1:10" ht="16.2" thickBot="1">
      <c r="F30" s="34"/>
      <c r="G30" s="34"/>
      <c r="H30" s="34"/>
      <c r="I30" s="34"/>
      <c r="J30" s="34"/>
    </row>
    <row r="31" spans="1:10" ht="16.2" thickTop="1">
      <c r="C31" s="74"/>
      <c r="F31" s="34"/>
      <c r="G31" s="34"/>
      <c r="H31" s="34"/>
      <c r="I31" s="34"/>
      <c r="J31" s="34"/>
    </row>
    <row r="32" spans="1:10">
      <c r="F32" s="34"/>
      <c r="G32" s="34"/>
      <c r="H32" s="34"/>
      <c r="I32" s="34"/>
      <c r="J32" s="34"/>
    </row>
    <row r="33" spans="6:10">
      <c r="F33" s="34"/>
      <c r="G33" s="34"/>
      <c r="H33" s="34"/>
      <c r="I33" s="34"/>
      <c r="J33" s="34"/>
    </row>
    <row r="34" spans="6:10">
      <c r="F34" s="34"/>
      <c r="G34" s="34"/>
      <c r="H34" s="34"/>
      <c r="I34" s="34"/>
      <c r="J34" s="34"/>
    </row>
    <row r="35" spans="6:10">
      <c r="F35" s="34"/>
      <c r="G35" s="34"/>
      <c r="H35" s="34"/>
      <c r="I35" s="34"/>
      <c r="J35" s="34"/>
    </row>
    <row r="36" spans="6:10">
      <c r="F36" s="34"/>
      <c r="G36" s="34"/>
      <c r="H36" s="34"/>
      <c r="I36" s="34"/>
      <c r="J36" s="34"/>
    </row>
    <row r="37" spans="6:10">
      <c r="F37" s="34"/>
      <c r="G37" s="34"/>
      <c r="H37" s="34"/>
      <c r="I37" s="34"/>
      <c r="J37" s="34"/>
    </row>
  </sheetData>
  <mergeCells count="15">
    <mergeCell ref="J1:J2"/>
    <mergeCell ref="A24:E24"/>
    <mergeCell ref="A17:E17"/>
    <mergeCell ref="A19:E19"/>
    <mergeCell ref="A23:E23"/>
    <mergeCell ref="A20:A22"/>
    <mergeCell ref="A3:A16"/>
    <mergeCell ref="A1:A2"/>
    <mergeCell ref="C1:C2"/>
    <mergeCell ref="D1:E2"/>
    <mergeCell ref="G1:G2"/>
    <mergeCell ref="H1:H2"/>
    <mergeCell ref="I1:I2"/>
    <mergeCell ref="B1:B2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opLeftCell="A8" zoomScale="80" zoomScaleNormal="80" workbookViewId="0">
      <selection activeCell="N26" sqref="N26"/>
    </sheetView>
  </sheetViews>
  <sheetFormatPr baseColWidth="10" defaultColWidth="11.44140625" defaultRowHeight="12.6"/>
  <cols>
    <col min="1" max="1" width="20" style="93" customWidth="1"/>
    <col min="2" max="2" width="19.88671875" style="93" customWidth="1"/>
    <col min="3" max="3" width="28.88671875" style="93" customWidth="1"/>
    <col min="4" max="4" width="17.44140625" style="93" hidden="1" customWidth="1"/>
    <col min="5" max="5" width="19.88671875" style="93" customWidth="1"/>
    <col min="6" max="6" width="13.33203125" style="93" customWidth="1"/>
    <col min="7" max="9" width="16.88671875" style="93" hidden="1" customWidth="1"/>
    <col min="10" max="10" width="5.44140625" style="93" customWidth="1"/>
    <col min="11" max="11" width="9.109375" style="93" customWidth="1"/>
    <col min="12" max="12" width="22.109375" style="93" customWidth="1"/>
    <col min="13" max="13" width="15.33203125" style="93" customWidth="1"/>
    <col min="14" max="14" width="16.33203125" style="93" customWidth="1"/>
    <col min="15" max="15" width="8.6640625" style="93" bestFit="1" customWidth="1"/>
    <col min="16" max="16" width="14.6640625" style="93" customWidth="1"/>
    <col min="17" max="17" width="11.5546875" style="93" customWidth="1"/>
    <col min="18" max="18" width="11.44140625" style="93"/>
    <col min="19" max="20" width="0" style="93" hidden="1" customWidth="1"/>
    <col min="21" max="21" width="20.44140625" style="93" hidden="1" customWidth="1"/>
    <col min="22" max="22" width="90.109375" style="93" hidden="1" customWidth="1"/>
    <col min="23" max="23" width="19" style="93" hidden="1" customWidth="1"/>
    <col min="24" max="24" width="19.44140625" style="93" hidden="1" customWidth="1"/>
    <col min="25" max="25" width="21" style="93" hidden="1" customWidth="1"/>
    <col min="26" max="16384" width="11.44140625" style="93"/>
  </cols>
  <sheetData>
    <row r="1" spans="1:28" ht="16.2">
      <c r="A1" s="95" t="s">
        <v>530</v>
      </c>
      <c r="B1" s="95" t="s">
        <v>530</v>
      </c>
      <c r="C1" s="95" t="s">
        <v>530</v>
      </c>
      <c r="S1" s="91" t="s">
        <v>531</v>
      </c>
      <c r="T1" s="91" t="s">
        <v>532</v>
      </c>
      <c r="AA1" s="179" t="s">
        <v>531</v>
      </c>
      <c r="AB1" s="179" t="s">
        <v>532</v>
      </c>
    </row>
    <row r="2" spans="1:28" ht="16.2">
      <c r="S2" s="92" t="s">
        <v>533</v>
      </c>
      <c r="T2" s="92" t="s">
        <v>534</v>
      </c>
      <c r="AA2" s="180" t="s">
        <v>533</v>
      </c>
      <c r="AB2" s="180" t="s">
        <v>534</v>
      </c>
    </row>
    <row r="3" spans="1:28" ht="25.8" thickBot="1">
      <c r="C3" s="143" t="s">
        <v>535</v>
      </c>
      <c r="E3" s="144" t="s">
        <v>707</v>
      </c>
      <c r="S3" s="92" t="s">
        <v>536</v>
      </c>
      <c r="T3" s="92" t="s">
        <v>537</v>
      </c>
      <c r="Z3" s="116"/>
      <c r="AA3" s="181" t="s">
        <v>536</v>
      </c>
      <c r="AB3" s="181" t="s">
        <v>537</v>
      </c>
    </row>
    <row r="4" spans="1:28" s="118" customFormat="1" ht="49.5" customHeight="1" thickTop="1">
      <c r="A4" s="128" t="s">
        <v>511</v>
      </c>
      <c r="B4" s="128" t="s">
        <v>512</v>
      </c>
      <c r="C4" s="352" t="s">
        <v>513</v>
      </c>
      <c r="D4" s="352" t="s">
        <v>538</v>
      </c>
      <c r="E4" s="352" t="s">
        <v>539</v>
      </c>
      <c r="F4" s="352" t="s">
        <v>540</v>
      </c>
      <c r="G4" s="352" t="s">
        <v>541</v>
      </c>
      <c r="H4" s="352" t="s">
        <v>29</v>
      </c>
      <c r="I4" s="352" t="s">
        <v>542</v>
      </c>
      <c r="J4" s="493" t="s">
        <v>514</v>
      </c>
      <c r="K4" s="493"/>
      <c r="L4" s="352" t="s">
        <v>538</v>
      </c>
      <c r="M4" s="352" t="s">
        <v>543</v>
      </c>
      <c r="N4" s="352" t="s">
        <v>544</v>
      </c>
      <c r="O4" s="352" t="s">
        <v>545</v>
      </c>
      <c r="P4" s="352" t="s">
        <v>546</v>
      </c>
      <c r="Q4" s="146" t="s">
        <v>547</v>
      </c>
      <c r="U4" s="119" t="s">
        <v>548</v>
      </c>
      <c r="V4" s="119" t="s">
        <v>549</v>
      </c>
      <c r="W4" s="119" t="s">
        <v>550</v>
      </c>
      <c r="X4" s="119" t="s">
        <v>551</v>
      </c>
      <c r="Y4" s="119" t="s">
        <v>552</v>
      </c>
    </row>
    <row r="5" spans="1:28" ht="63.75" customHeight="1">
      <c r="A5" s="482" t="s">
        <v>553</v>
      </c>
      <c r="B5" s="489" t="str">
        <f>+'Ejecución Agregado'!C19</f>
        <v>C-0301-1000-20-51102E</v>
      </c>
      <c r="C5" s="487" t="str">
        <f>+'Ejecución Agregado'!P19</f>
        <v>5. CONVERGENCIA REGIONAL / E. PLANEACIÓN Y GESTIÓN TERRITORIAL INTELIGENTE</v>
      </c>
      <c r="D5" s="355" t="s">
        <v>554</v>
      </c>
      <c r="E5" s="483" t="s">
        <v>555</v>
      </c>
      <c r="F5" s="483" t="s">
        <v>556</v>
      </c>
      <c r="G5" s="494">
        <f>+'x proyecto'!F4</f>
        <v>8000</v>
      </c>
      <c r="H5" s="494">
        <f>+'x proyecto'!G4</f>
        <v>0</v>
      </c>
      <c r="I5" s="494">
        <f>+'x proyecto'!I4</f>
        <v>0</v>
      </c>
      <c r="J5" s="484">
        <v>14</v>
      </c>
      <c r="K5" s="484" t="str">
        <f>+'x proyecto'!E4</f>
        <v xml:space="preserve">Crédito </v>
      </c>
      <c r="L5" s="356" t="s">
        <v>710</v>
      </c>
      <c r="M5" s="357">
        <f>+GETPIVOTDATA("APR, VIGENTE",'dinamica APR VIGENTE'!$A$3,"DESCRIPCION DEP GASTO","DIRECCIÓN DE DESCENTRALIZACIÓN Y FORTALECIMIENTO FISCAL - DDFF","FORMULA 1","C-0301-1000-20")/1000000</f>
        <v>1267.014897</v>
      </c>
      <c r="N5" s="357">
        <f>+GETPIVOTDATA("COMPROMISO",'dinamica COMPR'!$A$3,"DESCRIPCION DEP GASTO","DIRECCIÓN DE DESCENTRALIZACIÓN Y FORTALECIMIENTO FISCAL - DDFF","FORMULA 1","C-0301-1000-20")/1000000</f>
        <v>597.96205699999996</v>
      </c>
      <c r="O5" s="358">
        <f>+N5/M5</f>
        <v>0.47194556150510669</v>
      </c>
      <c r="P5" s="357">
        <f>+GETPIVOTDATA("OBLIGACION",'dinamica Oblig'!$A$3,"DESCRIPCION DEP GASTO","DIRECCIÓN DE DESCENTRALIZACIÓN Y FORTALECIMIENTO FISCAL - DDFF","FORMULA 1","C-0301-1000-20")/1000000</f>
        <v>0</v>
      </c>
      <c r="Q5" s="351">
        <f>+P5/M5</f>
        <v>0</v>
      </c>
      <c r="U5" s="110" t="s">
        <v>557</v>
      </c>
      <c r="V5" s="121" t="s">
        <v>558</v>
      </c>
      <c r="W5" s="147">
        <v>5353.5103589999999</v>
      </c>
      <c r="X5" s="496">
        <f>+W5+W6</f>
        <v>8309.0141239999994</v>
      </c>
      <c r="Y5" s="498" t="e">
        <f>+X5/#REF!</f>
        <v>#REF!</v>
      </c>
    </row>
    <row r="6" spans="1:28" ht="45" customHeight="1">
      <c r="A6" s="482"/>
      <c r="B6" s="490"/>
      <c r="C6" s="487"/>
      <c r="D6" s="355" t="s">
        <v>557</v>
      </c>
      <c r="E6" s="484"/>
      <c r="F6" s="483"/>
      <c r="G6" s="494"/>
      <c r="H6" s="494"/>
      <c r="I6" s="494"/>
      <c r="J6" s="484"/>
      <c r="K6" s="484"/>
      <c r="L6" s="356" t="s">
        <v>713</v>
      </c>
      <c r="M6" s="357">
        <f>+GETPIVOTDATA("APR, VIGENTE",'dinamica APR VIGENTE'!$A$3,"DESCRIPCION DEP GASTO","DIRECCIÓN DE ESTRATEGIA REGIONAL - DER","FORMULA 1","C-0301-1000-20")/1000000</f>
        <v>4265.5383320000001</v>
      </c>
      <c r="N6" s="357">
        <f>+GETPIVOTDATA("COMPROMISO",'dinamica COMPR'!$A$3,"DESCRIPCION DEP GASTO","DIRECCIÓN DE ESTRATEGIA REGIONAL - DER","FORMULA 1","C-0301-1000-20")/1000000</f>
        <v>3061.2271030000002</v>
      </c>
      <c r="O6" s="358">
        <f>+N6/M6</f>
        <v>0.71766489121307941</v>
      </c>
      <c r="P6" s="357">
        <f>+GETPIVOTDATA("OBLIGACION",'dinamica Oblig'!$A$3,"DESCRIPCION DEP GASTO","DIRECCIÓN DE ESTRATEGIA REGIONAL - DER","FORMULA 1","C-0301-1000-20")/1000000</f>
        <v>0</v>
      </c>
      <c r="Q6" s="351">
        <f>+P6/M6</f>
        <v>0</v>
      </c>
      <c r="U6" s="110" t="s">
        <v>557</v>
      </c>
      <c r="V6" s="121" t="s">
        <v>559</v>
      </c>
      <c r="W6" s="147">
        <v>2955.5037649999999</v>
      </c>
      <c r="X6" s="496"/>
      <c r="Y6" s="498"/>
      <c r="Z6" s="127"/>
    </row>
    <row r="7" spans="1:28" ht="56.25" customHeight="1">
      <c r="A7" s="482"/>
      <c r="B7" s="491"/>
      <c r="C7" s="488"/>
      <c r="D7" s="422" t="s">
        <v>560</v>
      </c>
      <c r="E7" s="485"/>
      <c r="F7" s="486"/>
      <c r="G7" s="495"/>
      <c r="H7" s="495"/>
      <c r="I7" s="495"/>
      <c r="J7" s="485"/>
      <c r="K7" s="485"/>
      <c r="L7" s="423" t="s">
        <v>714</v>
      </c>
      <c r="M7" s="357">
        <f>+GETPIVOTDATA("APR, VIGENTE",'dinamica APR VIGENTE'!$A$3,"DESCRIPCION DEP GASTO","DIRECCIÓN DE ORDENAMIENTO Y DESARROLLO TERRITORIAL - DODT","FORMULA 1","C-0301-1000-20")/1000000</f>
        <v>495.65577100000002</v>
      </c>
      <c r="N7" s="357">
        <f>+GETPIVOTDATA("COMPROMISO",'dinamica COMPR'!$A$3,"DESCRIPCION DEP GASTO","DIRECCIÓN DE ORDENAMIENTO Y DESARROLLO TERRITORIAL - DODT","FORMULA 1","C-0301-1000-20")/1000000</f>
        <v>272.33904799999999</v>
      </c>
      <c r="O7" s="358">
        <f>+N7/M7</f>
        <v>0.54945198650778948</v>
      </c>
      <c r="P7" s="357">
        <f>+GETPIVOTDATA("OBLIGACION",'dinamica Oblig'!$A$3,"DESCRIPCION DEP GASTO","DIRECCIÓN DE ORDENAMIENTO Y DESARROLLO TERRITORIAL - DODT","FORMULA 1","C-0301-1000-20")/1000000</f>
        <v>0</v>
      </c>
      <c r="Q7" s="351">
        <f>+P7/M7</f>
        <v>0</v>
      </c>
      <c r="U7" s="103" t="s">
        <v>554</v>
      </c>
      <c r="V7" s="122" t="s">
        <v>558</v>
      </c>
      <c r="W7" s="148">
        <v>19284.000711000001</v>
      </c>
      <c r="X7" s="497">
        <f>+W7+W9</f>
        <v>20436.022743000001</v>
      </c>
      <c r="Y7" s="499" t="e">
        <f>+X7/#REF!</f>
        <v>#REF!</v>
      </c>
    </row>
    <row r="8" spans="1:28" ht="56.25" customHeight="1">
      <c r="A8" s="482"/>
      <c r="B8" s="410"/>
      <c r="C8" s="505" t="s">
        <v>561</v>
      </c>
      <c r="D8" s="505"/>
      <c r="E8" s="505"/>
      <c r="F8" s="505"/>
      <c r="G8" s="505"/>
      <c r="H8" s="505"/>
      <c r="I8" s="505"/>
      <c r="J8" s="505"/>
      <c r="K8" s="505"/>
      <c r="L8" s="505"/>
      <c r="M8" s="421">
        <v>8000</v>
      </c>
      <c r="N8" s="357">
        <v>0</v>
      </c>
      <c r="O8" s="358">
        <v>0</v>
      </c>
      <c r="P8" s="357">
        <v>0</v>
      </c>
      <c r="Q8" s="351">
        <v>0</v>
      </c>
      <c r="U8" s="103"/>
      <c r="V8" s="122"/>
      <c r="W8" s="148"/>
      <c r="X8" s="497"/>
      <c r="Y8" s="499"/>
    </row>
    <row r="9" spans="1:28" ht="40.5" customHeight="1">
      <c r="A9" s="482"/>
      <c r="B9" s="129"/>
      <c r="C9" s="506" t="s">
        <v>562</v>
      </c>
      <c r="D9" s="507"/>
      <c r="E9" s="507"/>
      <c r="F9" s="507"/>
      <c r="G9" s="507"/>
      <c r="H9" s="507"/>
      <c r="I9" s="507"/>
      <c r="J9" s="507"/>
      <c r="K9" s="507"/>
      <c r="L9" s="508"/>
      <c r="M9" s="353">
        <f>SUM(M5:M8)</f>
        <v>14028.208999999999</v>
      </c>
      <c r="N9" s="353">
        <f>SUM(N5:N7)</f>
        <v>3931.5282079999997</v>
      </c>
      <c r="O9" s="354">
        <f t="shared" ref="O9" si="0">+N9/M9</f>
        <v>0.28025874208175827</v>
      </c>
      <c r="P9" s="353">
        <f>SUM(P5:P7)</f>
        <v>0</v>
      </c>
      <c r="Q9" s="130">
        <f t="shared" ref="Q9" si="1">+P9/M9</f>
        <v>0</v>
      </c>
      <c r="U9" s="103" t="s">
        <v>554</v>
      </c>
      <c r="V9" s="122" t="s">
        <v>559</v>
      </c>
      <c r="W9" s="148">
        <v>1152.0220320000001</v>
      </c>
      <c r="X9" s="497"/>
      <c r="Y9" s="499"/>
    </row>
    <row r="10" spans="1:28" s="151" customFormat="1" ht="39.75" customHeight="1">
      <c r="A10" s="282"/>
      <c r="B10" s="474" t="str">
        <f>+'Ejecución Agregado'!C20</f>
        <v>C-0301-1000-22-10305B</v>
      </c>
      <c r="C10" s="477" t="str">
        <f>+'Ejecución Agregado'!P20</f>
        <v>1. ORDENAMIENTO DEL TERRITORIO ALREDEDOR DEL AGUA Y JUSTICIA AMBIENTAL / B. ACTUALIZACIÓN CATASTRAL MULTIPROPÓSITO</v>
      </c>
      <c r="D10" s="347" t="s">
        <v>563</v>
      </c>
      <c r="E10" s="479" t="s">
        <v>564</v>
      </c>
      <c r="F10" s="479" t="s">
        <v>565</v>
      </c>
      <c r="G10" s="349">
        <f>+'x proyecto'!G18</f>
        <v>6181.5720082799999</v>
      </c>
      <c r="H10" s="349">
        <f>+'x proyecto'!I18</f>
        <v>613.76586799999995</v>
      </c>
      <c r="I10" s="350">
        <v>14</v>
      </c>
      <c r="J10" s="500">
        <v>14</v>
      </c>
      <c r="K10" s="479" t="str">
        <f>+'Ejecución Agregado'!M21</f>
        <v>Nación</v>
      </c>
      <c r="L10" s="348" t="s">
        <v>675</v>
      </c>
      <c r="M10" s="344">
        <f>+GETPIVOTDATA("APR, VIGENTE",'dinamica APR VIGENTE'!$A$3,"DESCRIPCION DEP GASTO","SECRETARIA GENERAL - SG","FORMULA 1","C-0301-1000-22")/1000000</f>
        <v>123.9</v>
      </c>
      <c r="N10" s="344">
        <f>+GETPIVOTDATA("COMPROMISO",'dinamica COMPR'!$A$3,"DESCRIPCION DEP GASTO","SECRETARIA GENERAL - SG","FORMULA 1","C-0301-1000-22")/1000000</f>
        <v>0</v>
      </c>
      <c r="O10" s="346">
        <f t="shared" ref="O10:O20" si="2">+N10/M10</f>
        <v>0</v>
      </c>
      <c r="P10" s="344">
        <f>+GETPIVOTDATA("OBLIGACION",'dinamica Oblig'!$A$3,"DESCRIPCION DEP GASTO","SECRETARIA GENERAL - SG","FORMULA 1","C-0301-1000-22")/1000000</f>
        <v>0</v>
      </c>
      <c r="Q10" s="345">
        <f t="shared" ref="Q10:Q20" si="3">+P10/M10</f>
        <v>0</v>
      </c>
      <c r="R10" s="305"/>
      <c r="S10" s="93"/>
      <c r="T10" s="93"/>
      <c r="U10" s="93"/>
      <c r="V10" s="93"/>
      <c r="W10" s="93"/>
      <c r="X10" s="93"/>
      <c r="Y10" s="93"/>
    </row>
    <row r="11" spans="1:28" s="151" customFormat="1" ht="39.75" customHeight="1">
      <c r="A11" s="282"/>
      <c r="B11" s="475"/>
      <c r="C11" s="477"/>
      <c r="D11" s="347"/>
      <c r="E11" s="479"/>
      <c r="F11" s="479"/>
      <c r="G11" s="349">
        <f>+'x proyecto'!G20</f>
        <v>4853.2958859999999</v>
      </c>
      <c r="H11" s="349">
        <f>+'x proyecto'!I20</f>
        <v>422.42036899999999</v>
      </c>
      <c r="I11" s="350"/>
      <c r="J11" s="500"/>
      <c r="K11" s="479"/>
      <c r="L11" s="348" t="s">
        <v>676</v>
      </c>
      <c r="M11" s="344">
        <f>+GETPIVOTDATA("APR, VIGENTE",'dinamica APR VIGENTE'!$A$3,"DESCRIPCION DEP GASTO","SUBDIRECCIÓN DE CONTRATACIÓN - SCT","FORMULA 1","C-0301-1000-22")/1000000</f>
        <v>475.6</v>
      </c>
      <c r="N11" s="344">
        <f>+GETPIVOTDATA("COMPROMISO",'dinamica COMPR'!$A$3,"DESCRIPCION DEP GASTO","SUBDIRECCIÓN DE CONTRATACIÓN - SCT","FORMULA 1","C-0301-1000-22")/1000000</f>
        <v>110.66666600000001</v>
      </c>
      <c r="O11" s="346">
        <f t="shared" si="2"/>
        <v>0.23268853238015139</v>
      </c>
      <c r="P11" s="344">
        <f>+GETPIVOTDATA("OBLIGACION",'dinamica Oblig'!$A$3,"DESCRIPCION DEP GASTO","SUBDIRECCIÓN DE CONTRATACIÓN - SCT","FORMULA 1","C-0301-1000-22")/1000000</f>
        <v>10.666665999999999</v>
      </c>
      <c r="Q11" s="345">
        <f t="shared" si="3"/>
        <v>2.2427809083263243E-2</v>
      </c>
      <c r="R11" s="93"/>
      <c r="S11" s="93"/>
      <c r="T11" s="93"/>
      <c r="U11" s="93"/>
      <c r="V11" s="93"/>
      <c r="W11" s="93"/>
      <c r="X11" s="93"/>
      <c r="Y11" s="93"/>
    </row>
    <row r="12" spans="1:28" s="151" customFormat="1" ht="58.5" customHeight="1">
      <c r="A12" s="282"/>
      <c r="B12" s="475"/>
      <c r="C12" s="477"/>
      <c r="D12" s="347"/>
      <c r="E12" s="479"/>
      <c r="F12" s="479"/>
      <c r="G12" s="349" t="e">
        <f>+'x proyecto'!G22</f>
        <v>#REF!</v>
      </c>
      <c r="H12" s="349" t="e">
        <f>+'x proyecto'!I22</f>
        <v>#REF!</v>
      </c>
      <c r="I12" s="350"/>
      <c r="J12" s="500"/>
      <c r="K12" s="479"/>
      <c r="L12" s="348" t="s">
        <v>715</v>
      </c>
      <c r="M12" s="344">
        <f>+GETPIVOTDATA("APR, VIGENTE",'dinamica APR VIGENTE'!$A$3,"DESCRIPCION DEP GASTO","SUBDIRECCION FINANCIERA - SF","FORMULA 1","C-0301-1000-22")/1000000</f>
        <v>447.995</v>
      </c>
      <c r="N12" s="344">
        <f>+GETPIVOTDATA("COMPROMISO",'dinamica COMPR'!$A$3,"DESCRIPCION DEP GASTO","SUBDIRECCION FINANCIERA - SF","FORMULA 1","C-0301-1000-22")/1000000</f>
        <v>181.49333300000001</v>
      </c>
      <c r="O12" s="346">
        <f t="shared" si="2"/>
        <v>0.40512356834339669</v>
      </c>
      <c r="P12" s="344">
        <f>+GETPIVOTDATA("OBLIGACION",'dinamica Oblig'!$A$3,"DESCRIPCION DEP GASTO","SUBDIRECCION FINANCIERA - SF","FORMULA 1","C-0301-1000-22")/1000000</f>
        <v>17.493333</v>
      </c>
      <c r="Q12" s="345">
        <f t="shared" si="3"/>
        <v>3.9048054107746741E-2</v>
      </c>
      <c r="R12" s="93"/>
      <c r="S12" s="93"/>
      <c r="T12" s="93"/>
      <c r="U12" s="93"/>
      <c r="V12" s="93"/>
      <c r="W12" s="93"/>
      <c r="X12" s="93"/>
      <c r="Y12" s="93"/>
    </row>
    <row r="13" spans="1:28" s="151" customFormat="1" ht="58.5" customHeight="1">
      <c r="A13" s="282"/>
      <c r="B13" s="476"/>
      <c r="C13" s="477"/>
      <c r="D13" s="347"/>
      <c r="E13" s="479"/>
      <c r="F13" s="479"/>
      <c r="G13" s="349" t="e">
        <f>+'x proyecto'!G23</f>
        <v>#REF!</v>
      </c>
      <c r="H13" s="349" t="e">
        <f>+'x proyecto'!I23</f>
        <v>#REF!</v>
      </c>
      <c r="I13" s="350"/>
      <c r="J13" s="500"/>
      <c r="K13" s="479"/>
      <c r="L13" s="348" t="s">
        <v>711</v>
      </c>
      <c r="M13" s="344">
        <f>+GETPIVOTDATA("APR, VIGENTE",'dinamica APR VIGENTE'!$A$3,"DESCRIPCION DEP GASTO","DIRECCIÓN DE ORDENAMIENTO Y DESARROLLO TERRITORIAL - DODT","FORMULA 1","C-0301-1000-22")/1000000</f>
        <v>19452.505000000001</v>
      </c>
      <c r="N13" s="344">
        <f>+GETPIVOTDATA("COMPROMISO",'dinamica COMPR'!$A$3,"DESCRIPCION DEP GASTO","DIRECCIÓN DE ORDENAMIENTO Y DESARROLLO TERRITORIAL - DODT","FORMULA 1","C-0301-1000-22")/1000000</f>
        <v>3738.937469</v>
      </c>
      <c r="O13" s="346">
        <f t="shared" si="2"/>
        <v>0.19220853401657009</v>
      </c>
      <c r="P13" s="344">
        <f>+GETPIVOTDATA("OBLIGACION",'dinamica Oblig'!$A$3,"DESCRIPCION DEP GASTO","DIRECCIÓN DE ORDENAMIENTO Y DESARROLLO TERRITORIAL - DODT","FORMULA 1","C-0301-1000-22")/1000000</f>
        <v>174.93640600000001</v>
      </c>
      <c r="Q13" s="345">
        <f t="shared" si="3"/>
        <v>8.9930014669061895E-3</v>
      </c>
      <c r="R13" s="93"/>
      <c r="S13" s="93"/>
      <c r="T13" s="93"/>
      <c r="U13" s="93"/>
      <c r="V13" s="93"/>
      <c r="W13" s="93"/>
      <c r="X13" s="93"/>
      <c r="Y13" s="93"/>
    </row>
    <row r="14" spans="1:28" s="120" customFormat="1" ht="33" customHeight="1">
      <c r="A14" s="282"/>
      <c r="B14" s="157"/>
      <c r="C14" s="502" t="s">
        <v>566</v>
      </c>
      <c r="D14" s="503"/>
      <c r="E14" s="503"/>
      <c r="F14" s="503"/>
      <c r="G14" s="503"/>
      <c r="H14" s="503"/>
      <c r="I14" s="503"/>
      <c r="J14" s="503"/>
      <c r="K14" s="503"/>
      <c r="L14" s="504"/>
      <c r="M14" s="359">
        <f>SUM(M10:M13)</f>
        <v>20500</v>
      </c>
      <c r="N14" s="359">
        <f>SUM(N10:N13)</f>
        <v>4031.0974679999999</v>
      </c>
      <c r="O14" s="360">
        <f t="shared" si="2"/>
        <v>0.19663890087804878</v>
      </c>
      <c r="P14" s="361">
        <f>SUM(P10:P13)</f>
        <v>203.096405</v>
      </c>
      <c r="Q14" s="343">
        <f t="shared" si="3"/>
        <v>9.9071417073170742E-3</v>
      </c>
      <c r="R14" s="138"/>
      <c r="S14" s="138"/>
    </row>
    <row r="15" spans="1:28" s="151" customFormat="1" ht="39.75" customHeight="1">
      <c r="A15" s="282"/>
      <c r="B15" s="474" t="str">
        <f>+'Ejecución Agregado'!C25</f>
        <v>C-0301-1000-34-53105B</v>
      </c>
      <c r="C15" s="477" t="str">
        <f>+'Ejecución Agregado'!P25</f>
        <v>5. CONVERGENCIA REGIONAL / B. ENTIDADES PÚBLICAS TERRITORIALES Y NACIONALES FORTALECIDAS</v>
      </c>
      <c r="D15" s="347" t="s">
        <v>563</v>
      </c>
      <c r="E15" s="479" t="s">
        <v>567</v>
      </c>
      <c r="F15" s="479" t="s">
        <v>568</v>
      </c>
      <c r="G15" s="349" t="e">
        <f>+'x proyecto'!G23</f>
        <v>#REF!</v>
      </c>
      <c r="H15" s="349" t="e">
        <f>+'x proyecto'!I23</f>
        <v>#REF!</v>
      </c>
      <c r="I15" s="350">
        <v>14</v>
      </c>
      <c r="J15" s="500">
        <v>11</v>
      </c>
      <c r="K15" s="479" t="str">
        <f>+'Ejecución Agregado'!M26</f>
        <v>Nación</v>
      </c>
      <c r="L15" s="356" t="s">
        <v>710</v>
      </c>
      <c r="M15" s="344">
        <f>+GETPIVOTDATA("APR, VIGENTE",'dinamica APR VIGENTE'!$A$3,"DESCRIPCION DEP GASTO","DIRECCIÓN DE DESCENTRALIZACIÓN Y FORTALECIMIENTO FISCAL - DDFF","FORMULA 1","C-0301-1000-34")/1000000</f>
        <v>3067.549</v>
      </c>
      <c r="N15" s="344">
        <f>+GETPIVOTDATA("COMPROMISO",'dinamica COMPR'!$A$3,"DESCRIPCION DEP GASTO","DIRECCIÓN DE DESCENTRALIZACIÓN Y FORTALECIMIENTO FISCAL - DDFF","FORMULA 1","C-0301-1000-34")/1000000</f>
        <v>1967.2889259999999</v>
      </c>
      <c r="O15" s="346">
        <f t="shared" si="2"/>
        <v>0.64132273877287693</v>
      </c>
      <c r="P15" s="344">
        <f>+GETPIVOTDATA("OBLIGACION",'dinamica Oblig'!$A$3,"DESCRIPCION DEP GASTO","DIRECCIÓN DE DESCENTRALIZACIÓN Y FORTALECIMIENTO FISCAL - DDFF","FORMULA 1","C-0301-1000-34")/1000000</f>
        <v>207.48158000000001</v>
      </c>
      <c r="Q15" s="345">
        <f t="shared" si="3"/>
        <v>6.7637576449471548E-2</v>
      </c>
      <c r="R15" s="305"/>
      <c r="S15" s="93"/>
      <c r="T15" s="93"/>
      <c r="U15" s="93"/>
      <c r="V15" s="93"/>
      <c r="W15" s="93"/>
      <c r="X15" s="93"/>
      <c r="Y15" s="93"/>
    </row>
    <row r="16" spans="1:28" s="151" customFormat="1" ht="39.75" customHeight="1">
      <c r="A16" s="282"/>
      <c r="B16" s="475"/>
      <c r="C16" s="477"/>
      <c r="D16" s="347"/>
      <c r="E16" s="479"/>
      <c r="F16" s="479"/>
      <c r="G16" s="349">
        <f>+'x proyecto'!G25</f>
        <v>0</v>
      </c>
      <c r="H16" s="349">
        <f>+'x proyecto'!I25</f>
        <v>0</v>
      </c>
      <c r="I16" s="350"/>
      <c r="J16" s="500"/>
      <c r="K16" s="479"/>
      <c r="L16" s="356" t="s">
        <v>713</v>
      </c>
      <c r="M16" s="344">
        <f>+GETPIVOTDATA("APR, VIGENTE",'dinamica APR VIGENTE'!$A$3,"DESCRIPCION DEP GASTO","DIRECCIÓN DE ESTRATEGIA REGIONAL - DER","FORMULA 1","C-0301-1000-34")/1000000</f>
        <v>8945.5759999999991</v>
      </c>
      <c r="N16" s="344">
        <f>+GETPIVOTDATA("COMPROMISO",'dinamica COMPR'!$A$3,"DESCRIPCION DEP GASTO","DIRECCIÓN DE ESTRATEGIA REGIONAL - DER","FORMULA 1","C-0301-1000-34")/1000000</f>
        <v>1745.153665</v>
      </c>
      <c r="O16" s="346">
        <f t="shared" si="2"/>
        <v>0.19508566748524636</v>
      </c>
      <c r="P16" s="344">
        <f>+GETPIVOTDATA("OBLIGACION",'dinamica Oblig'!$A$3,"DESCRIPCION DEP GASTO","DIRECCIÓN DE ESTRATEGIA REGIONAL - DER","FORMULA 1","C-0301-1000-34")/1000000</f>
        <v>169.82344000000001</v>
      </c>
      <c r="Q16" s="345">
        <f t="shared" si="3"/>
        <v>1.8984069891083595E-2</v>
      </c>
      <c r="R16" s="93"/>
      <c r="S16" s="93"/>
      <c r="T16" s="93"/>
      <c r="U16" s="93"/>
      <c r="V16" s="93"/>
      <c r="W16" s="93"/>
      <c r="X16" s="93"/>
      <c r="Y16" s="93"/>
    </row>
    <row r="17" spans="1:25" s="151" customFormat="1" ht="58.5" customHeight="1">
      <c r="A17" s="282"/>
      <c r="B17" s="475"/>
      <c r="C17" s="477"/>
      <c r="D17" s="347"/>
      <c r="E17" s="479"/>
      <c r="F17" s="479"/>
      <c r="G17" s="349">
        <f>+'x proyecto'!G27</f>
        <v>0</v>
      </c>
      <c r="H17" s="349">
        <f>+'x proyecto'!I27</f>
        <v>0</v>
      </c>
      <c r="I17" s="350"/>
      <c r="J17" s="500"/>
      <c r="K17" s="479"/>
      <c r="L17" s="348" t="s">
        <v>711</v>
      </c>
      <c r="M17" s="344">
        <f>+GETPIVOTDATA("APR, VIGENTE",'dinamica APR VIGENTE'!$A$3,"DESCRIPCION DEP GASTO","DIRECCIÓN DE ORDENAMIENTO Y DESARROLLO TERRITORIAL - DODT","FORMULA 1","C-0301-1000-34")/1000000</f>
        <v>5460.9849180000001</v>
      </c>
      <c r="N17" s="344">
        <f>+GETPIVOTDATA("COMPROMISO",'dinamica COMPR'!$A$3,"DESCRIPCION DEP GASTO","DIRECCIÓN DE ORDENAMIENTO Y DESARROLLO TERRITORIAL - DODT","FORMULA 1","C-0301-1000-34")/1000000</f>
        <v>4637.8704989999997</v>
      </c>
      <c r="O17" s="346">
        <f t="shared" si="2"/>
        <v>0.8492736326213014</v>
      </c>
      <c r="P17" s="344">
        <f>+GETPIVOTDATA("OBLIGACION",'dinamica Oblig'!$A$3,"DESCRIPCION DEP GASTO","DIRECCIÓN DE ORDENAMIENTO Y DESARROLLO TERRITORIAL - DODT","FORMULA 1","C-0301-1000-34")/1000000</f>
        <v>582.99300900000003</v>
      </c>
      <c r="Q17" s="345">
        <f t="shared" si="3"/>
        <v>0.10675601887827811</v>
      </c>
      <c r="R17" s="93"/>
      <c r="S17" s="93"/>
      <c r="T17" s="93"/>
      <c r="U17" s="93"/>
      <c r="V17" s="93"/>
      <c r="W17" s="93"/>
      <c r="X17" s="93"/>
      <c r="Y17" s="93"/>
    </row>
    <row r="18" spans="1:25" s="151" customFormat="1" ht="58.5" customHeight="1">
      <c r="A18" s="282"/>
      <c r="B18" s="476"/>
      <c r="C18" s="478"/>
      <c r="D18" s="363"/>
      <c r="E18" s="480"/>
      <c r="F18" s="480"/>
      <c r="G18" s="365">
        <f>+'x proyecto'!G28</f>
        <v>0</v>
      </c>
      <c r="H18" s="365">
        <f>+'x proyecto'!I28</f>
        <v>0</v>
      </c>
      <c r="I18" s="366"/>
      <c r="J18" s="501"/>
      <c r="K18" s="480"/>
      <c r="L18" s="364" t="s">
        <v>712</v>
      </c>
      <c r="M18" s="367">
        <f>+GETPIVOTDATA("APR, VIGENTE",'dinamica APR VIGENTE'!$A$3,"DESCRIPCION DEP GASTO","SUBDIRECCIÓN GENERAL DE DESCENTRALIZACIÓN Y DESARROLLO TERRITORIAL - SGDDT","FORMULA 1","C-0301-1000-34")/1000000</f>
        <v>1746.8900819999999</v>
      </c>
      <c r="N18" s="367">
        <f>+GETPIVOTDATA("COMPROMISO",'dinamica COMPR'!$A$3,"DESCRIPCION DEP GASTO","SUBDIRECCIÓN GENERAL DE DESCENTRALIZACIÓN Y DESARROLLO TERRITORIAL - SGDDT","FORMULA 1","C-0301-1000-34")/1000000</f>
        <v>1136.6620720000001</v>
      </c>
      <c r="O18" s="368">
        <f t="shared" si="2"/>
        <v>0.65067750038322114</v>
      </c>
      <c r="P18" s="367">
        <f>+GETPIVOTDATA("OBLIGACION",'dinamica Oblig'!$A$3,"DESCRIPCION DEP GASTO","SUBDIRECCIÓN GENERAL DE DESCENTRALIZACIÓN Y DESARROLLO TERRITORIAL - SGDDT","FORMULA 1","C-0301-1000-34")/1000000</f>
        <v>120.975498</v>
      </c>
      <c r="Q18" s="369">
        <f t="shared" si="3"/>
        <v>6.9251923315917022E-2</v>
      </c>
      <c r="R18" s="93"/>
      <c r="S18" s="93"/>
      <c r="T18" s="93"/>
      <c r="U18" s="93"/>
      <c r="V18" s="93"/>
      <c r="W18" s="93"/>
      <c r="X18" s="93"/>
      <c r="Y18" s="93"/>
    </row>
    <row r="19" spans="1:25" s="120" customFormat="1" ht="33" customHeight="1">
      <c r="A19" s="282"/>
      <c r="B19" s="157"/>
      <c r="C19" s="492" t="s">
        <v>569</v>
      </c>
      <c r="D19" s="492"/>
      <c r="E19" s="492"/>
      <c r="F19" s="492"/>
      <c r="G19" s="492"/>
      <c r="H19" s="492"/>
      <c r="I19" s="492"/>
      <c r="J19" s="492"/>
      <c r="K19" s="492"/>
      <c r="L19" s="492"/>
      <c r="M19" s="245">
        <f>SUM(M15:M18)</f>
        <v>19221</v>
      </c>
      <c r="N19" s="245">
        <f>SUM(N15:N18)</f>
        <v>9486.9751619999988</v>
      </c>
      <c r="O19" s="158">
        <f t="shared" si="2"/>
        <v>0.49357344373341649</v>
      </c>
      <c r="P19" s="245">
        <f>SUM(P15:P18)</f>
        <v>1081.2735270000001</v>
      </c>
      <c r="Q19" s="295">
        <f t="shared" si="3"/>
        <v>5.6254800842828162E-2</v>
      </c>
      <c r="R19" s="138"/>
      <c r="S19" s="138"/>
    </row>
    <row r="20" spans="1:25" ht="36.75" customHeight="1">
      <c r="A20" s="178"/>
      <c r="B20" s="362"/>
      <c r="C20" s="481" t="s">
        <v>570</v>
      </c>
      <c r="D20" s="481"/>
      <c r="E20" s="481"/>
      <c r="F20" s="481"/>
      <c r="G20" s="481"/>
      <c r="H20" s="481"/>
      <c r="I20" s="481"/>
      <c r="J20" s="481"/>
      <c r="K20" s="481"/>
      <c r="L20" s="481"/>
      <c r="M20" s="370">
        <f>+M9+M14+M19</f>
        <v>53749.209000000003</v>
      </c>
      <c r="N20" s="370">
        <f>+N9+N14+N19</f>
        <v>17449.600837999998</v>
      </c>
      <c r="O20" s="371">
        <f t="shared" si="2"/>
        <v>0.32464851413906387</v>
      </c>
      <c r="P20" s="370">
        <f>+P9+P14+P19</f>
        <v>1284.3699320000001</v>
      </c>
      <c r="Q20" s="372">
        <f t="shared" si="3"/>
        <v>2.3895606203246638E-2</v>
      </c>
    </row>
    <row r="21" spans="1:25">
      <c r="M21" s="139"/>
      <c r="N21" s="139"/>
      <c r="O21" s="139"/>
      <c r="P21" s="139"/>
      <c r="Q21" s="139"/>
    </row>
    <row r="23" spans="1:25">
      <c r="M23" s="142">
        <f>+M20+SGISE!M17+SGPDN!L26+DG!J13+SG!L17</f>
        <v>1044103.3172050001</v>
      </c>
      <c r="N23" s="142">
        <f>+N20+SGISE!N17+SGPDN!M26+DG!K13+SG!M17</f>
        <v>688344.00801728002</v>
      </c>
      <c r="O23" s="142">
        <f>+O20+SGISE!O17+SGPDN!N26+DG!L13+SG!N17</f>
        <v>1.9812898342424834</v>
      </c>
      <c r="P23" s="142">
        <f>+P20+SGISE!P17+SGPDN!O26+DG!M13+SG!O17</f>
        <v>7283.9072830000005</v>
      </c>
      <c r="Q23" s="142">
        <f>+Q20+SGISE!Q17+SGPDN!P26+DG!N13+SG!P17</f>
        <v>9.4748168727044585E-2</v>
      </c>
    </row>
    <row r="25" spans="1:25">
      <c r="M25" s="142">
        <f>+M23+Ejec!D29+Ejec!D30</f>
        <v>1044103.3172050001</v>
      </c>
      <c r="N25" s="142"/>
      <c r="O25" s="142"/>
      <c r="P25" s="142"/>
    </row>
    <row r="27" spans="1:25">
      <c r="M27" s="142">
        <f>+M23-M25</f>
        <v>0</v>
      </c>
    </row>
  </sheetData>
  <sortState ref="U5:W16">
    <sortCondition ref="U5"/>
  </sortState>
  <mergeCells count="32">
    <mergeCell ref="X5:X6"/>
    <mergeCell ref="X7:X9"/>
    <mergeCell ref="Y5:Y6"/>
    <mergeCell ref="Y7:Y9"/>
    <mergeCell ref="F15:F18"/>
    <mergeCell ref="J15:J18"/>
    <mergeCell ref="C14:L14"/>
    <mergeCell ref="K15:K18"/>
    <mergeCell ref="J10:J13"/>
    <mergeCell ref="K10:K13"/>
    <mergeCell ref="E10:E13"/>
    <mergeCell ref="C8:L8"/>
    <mergeCell ref="C9:L9"/>
    <mergeCell ref="J4:K4"/>
    <mergeCell ref="K5:K7"/>
    <mergeCell ref="G5:G7"/>
    <mergeCell ref="H5:H7"/>
    <mergeCell ref="I5:I7"/>
    <mergeCell ref="J5:J7"/>
    <mergeCell ref="B15:B18"/>
    <mergeCell ref="C15:C18"/>
    <mergeCell ref="E15:E18"/>
    <mergeCell ref="C20:L20"/>
    <mergeCell ref="A5:A9"/>
    <mergeCell ref="E5:E7"/>
    <mergeCell ref="F5:F7"/>
    <mergeCell ref="C5:C7"/>
    <mergeCell ref="B5:B7"/>
    <mergeCell ref="F10:F13"/>
    <mergeCell ref="B10:B13"/>
    <mergeCell ref="C10:C13"/>
    <mergeCell ref="C19:L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opLeftCell="A7" zoomScale="80" zoomScaleNormal="80" workbookViewId="0">
      <selection activeCell="M8" sqref="M8"/>
    </sheetView>
  </sheetViews>
  <sheetFormatPr baseColWidth="10" defaultColWidth="11.44140625" defaultRowHeight="12.6"/>
  <cols>
    <col min="1" max="1" width="12.5546875" style="93" customWidth="1"/>
    <col min="2" max="2" width="19.33203125" style="93" customWidth="1"/>
    <col min="3" max="3" width="35.5546875" style="93" customWidth="1"/>
    <col min="4" max="4" width="18.6640625" style="93" hidden="1" customWidth="1"/>
    <col min="5" max="5" width="20.88671875" style="93" customWidth="1"/>
    <col min="6" max="6" width="16.88671875" style="93" customWidth="1"/>
    <col min="7" max="9" width="11.44140625" style="93" hidden="1" customWidth="1"/>
    <col min="10" max="10" width="4.6640625" style="93" customWidth="1"/>
    <col min="11" max="11" width="8.33203125" style="93" customWidth="1"/>
    <col min="12" max="12" width="19.5546875" style="93" customWidth="1"/>
    <col min="13" max="13" width="23.33203125" style="93" customWidth="1"/>
    <col min="14" max="14" width="15.6640625" style="93" customWidth="1"/>
    <col min="15" max="15" width="11" style="94" customWidth="1"/>
    <col min="16" max="16" width="13.44140625" style="93" customWidth="1"/>
    <col min="17" max="17" width="14.44140625" style="93" customWidth="1"/>
    <col min="18" max="18" width="11.44140625" style="93"/>
    <col min="19" max="20" width="0" style="93" hidden="1" customWidth="1"/>
    <col min="21" max="21" width="26.109375" style="93" hidden="1" customWidth="1"/>
    <col min="22" max="22" width="136.33203125" style="93" hidden="1" customWidth="1"/>
    <col min="23" max="23" width="19.6640625" style="93" hidden="1" customWidth="1"/>
    <col min="24" max="24" width="22" style="93" hidden="1" customWidth="1"/>
    <col min="25" max="25" width="14.5546875" style="93" hidden="1" customWidth="1"/>
    <col min="26" max="16384" width="11.44140625" style="93"/>
  </cols>
  <sheetData>
    <row r="1" spans="1:26" ht="16.2">
      <c r="Q1" s="179" t="s">
        <v>531</v>
      </c>
      <c r="R1" s="179" t="s">
        <v>532</v>
      </c>
      <c r="S1" s="91" t="s">
        <v>531</v>
      </c>
      <c r="T1" s="91" t="s">
        <v>532</v>
      </c>
    </row>
    <row r="2" spans="1:26" ht="16.2">
      <c r="A2" s="95" t="s">
        <v>571</v>
      </c>
      <c r="C2" s="95" t="s">
        <v>571</v>
      </c>
      <c r="Q2" s="180" t="s">
        <v>533</v>
      </c>
      <c r="R2" s="180" t="s">
        <v>534</v>
      </c>
      <c r="S2" s="92" t="s">
        <v>533</v>
      </c>
      <c r="T2" s="92" t="s">
        <v>534</v>
      </c>
    </row>
    <row r="3" spans="1:26" ht="16.8" thickBot="1">
      <c r="Q3" s="181" t="s">
        <v>536</v>
      </c>
      <c r="R3" s="181" t="s">
        <v>537</v>
      </c>
      <c r="S3" s="92" t="s">
        <v>536</v>
      </c>
      <c r="T3" s="92" t="s">
        <v>537</v>
      </c>
    </row>
    <row r="4" spans="1:26" ht="26.4" thickTop="1" thickBot="1">
      <c r="A4" s="96"/>
      <c r="B4" s="97"/>
      <c r="C4" s="143" t="s">
        <v>535</v>
      </c>
      <c r="D4" s="144" t="s">
        <v>572</v>
      </c>
      <c r="E4" s="144" t="str">
        <f>+SGDDT!E3</f>
        <v>Fecha: corte 13 de marzo 2024</v>
      </c>
      <c r="F4" s="97"/>
      <c r="G4" s="97"/>
      <c r="H4" s="97"/>
      <c r="I4" s="97"/>
      <c r="J4" s="96"/>
      <c r="K4" s="98"/>
      <c r="L4" s="97"/>
      <c r="M4" s="97"/>
      <c r="N4" s="97"/>
      <c r="O4" s="99"/>
      <c r="P4" s="97"/>
      <c r="Q4" s="98"/>
    </row>
    <row r="5" spans="1:26" ht="66.75" customHeight="1" thickTop="1" thickBot="1">
      <c r="A5" s="149" t="s">
        <v>511</v>
      </c>
      <c r="B5" s="149" t="s">
        <v>512</v>
      </c>
      <c r="C5" s="149" t="s">
        <v>513</v>
      </c>
      <c r="D5" s="149" t="s">
        <v>538</v>
      </c>
      <c r="E5" s="149" t="s">
        <v>573</v>
      </c>
      <c r="F5" s="149" t="s">
        <v>540</v>
      </c>
      <c r="G5" s="149" t="s">
        <v>541</v>
      </c>
      <c r="H5" s="149" t="s">
        <v>29</v>
      </c>
      <c r="I5" s="149" t="s">
        <v>542</v>
      </c>
      <c r="J5" s="509" t="s">
        <v>514</v>
      </c>
      <c r="K5" s="509"/>
      <c r="L5" s="149" t="s">
        <v>538</v>
      </c>
      <c r="M5" s="149" t="s">
        <v>543</v>
      </c>
      <c r="N5" s="149" t="s">
        <v>544</v>
      </c>
      <c r="O5" s="149" t="s">
        <v>545</v>
      </c>
      <c r="P5" s="149" t="s">
        <v>546</v>
      </c>
      <c r="Q5" s="149" t="s">
        <v>547</v>
      </c>
      <c r="U5" s="100" t="s">
        <v>548</v>
      </c>
      <c r="V5" s="101" t="s">
        <v>549</v>
      </c>
      <c r="W5" s="102" t="s">
        <v>550</v>
      </c>
      <c r="X5" s="100" t="s">
        <v>551</v>
      </c>
      <c r="Y5" s="100" t="s">
        <v>574</v>
      </c>
    </row>
    <row r="6" spans="1:26" s="151" customFormat="1" ht="84" customHeight="1" thickTop="1">
      <c r="A6" s="510" t="s">
        <v>553</v>
      </c>
      <c r="B6" s="300" t="str">
        <f>+'Ejecución Agregado'!C17</f>
        <v>C-0301-1000-18-51102E</v>
      </c>
      <c r="C6" s="394" t="str">
        <f>+'Ejecución Agregado'!P17</f>
        <v>5. CONVERGENCIA REGIONAL / E. PLANEACIÓN Y GESTIÓN TERRITORIAL INTELIGENTE</v>
      </c>
      <c r="D6" s="296" t="s">
        <v>575</v>
      </c>
      <c r="E6" s="308" t="s">
        <v>576</v>
      </c>
      <c r="F6" s="308" t="s">
        <v>577</v>
      </c>
      <c r="G6" s="376">
        <f>+'x proyecto'!F3</f>
        <v>746490.90670000005</v>
      </c>
      <c r="H6" s="376">
        <f>+'x proyecto'!G3</f>
        <v>585440.95638900006</v>
      </c>
      <c r="I6" s="376">
        <f>+'x proyecto'!I3</f>
        <v>0</v>
      </c>
      <c r="J6" s="395" t="str">
        <f>+'x proyecto'!D3</f>
        <v>10</v>
      </c>
      <c r="K6" s="395" t="str">
        <f>+'x proyecto'!E3</f>
        <v>Nación</v>
      </c>
      <c r="L6" s="308" t="s">
        <v>578</v>
      </c>
      <c r="M6" s="244">
        <f>+GETPIVOTDATA("APR, VIGENTE",'dinamica APR VIGENTE'!$A$3,"DESCRIPCION DEP GASTO","SUBDIRECCIÓN GENERAL DE INVERSIONES, SEGUIMIENTO Y EVALUACIÓN - SGISE","FORMULA 1","C-0301-1000-18")/1000000</f>
        <v>742390.90670000005</v>
      </c>
      <c r="N6" s="244">
        <f>+GETPIVOTDATA("COMPROMISO",'dinamica COMPR'!$A$3,"DESCRIPCION DEP GASTO","SUBDIRECCIÓN GENERAL DE INVERSIONES, SEGUIMIENTO Y EVALUACIÓN - SGISE","FORMULA 1","C-0301-1000-18")/1000000</f>
        <v>585440.95638900006</v>
      </c>
      <c r="O6" s="377">
        <f>+N6/M6</f>
        <v>0.7885885334874887</v>
      </c>
      <c r="P6" s="244">
        <f>+GETPIVOTDATA("OBLIGACION",'dinamica Oblig'!$A$3,"DESCRIPCION DEP GASTO","SUBDIRECCIÓN GENERAL DE INVERSIONES, SEGUIMIENTO Y EVALUACIÓN - SGISE","FORMULA 1","C-0301-1000-18")/1000000</f>
        <v>0</v>
      </c>
      <c r="Q6" s="145">
        <f>+P6/M6</f>
        <v>0</v>
      </c>
      <c r="U6" s="104" t="s">
        <v>575</v>
      </c>
      <c r="V6" s="105" t="s">
        <v>579</v>
      </c>
      <c r="W6" s="106">
        <v>1086175.5638890001</v>
      </c>
      <c r="X6" s="519">
        <f>+W6+W9</f>
        <v>1098963.30657</v>
      </c>
      <c r="Y6" s="522" t="e">
        <f>+X6/#REF!</f>
        <v>#REF!</v>
      </c>
    </row>
    <row r="7" spans="1:26" s="151" customFormat="1" ht="53.25" customHeight="1">
      <c r="A7" s="510"/>
      <c r="B7" s="414"/>
      <c r="C7" s="534" t="s">
        <v>580</v>
      </c>
      <c r="D7" s="534"/>
      <c r="E7" s="534"/>
      <c r="F7" s="534"/>
      <c r="G7" s="534"/>
      <c r="H7" s="534"/>
      <c r="I7" s="534"/>
      <c r="J7" s="534"/>
      <c r="K7" s="534"/>
      <c r="L7" s="534"/>
      <c r="M7" s="425">
        <v>4100</v>
      </c>
      <c r="N7" s="425">
        <v>0</v>
      </c>
      <c r="O7" s="426"/>
      <c r="P7" s="425">
        <v>0</v>
      </c>
      <c r="Q7" s="415">
        <v>0</v>
      </c>
      <c r="U7" s="416"/>
      <c r="V7" s="417"/>
      <c r="W7" s="106"/>
      <c r="X7" s="520"/>
      <c r="Y7" s="523"/>
    </row>
    <row r="8" spans="1:26" s="194" customFormat="1" ht="45" customHeight="1">
      <c r="A8" s="510"/>
      <c r="B8" s="298"/>
      <c r="C8" s="530" t="s">
        <v>581</v>
      </c>
      <c r="D8" s="531"/>
      <c r="E8" s="531"/>
      <c r="F8" s="531"/>
      <c r="G8" s="531"/>
      <c r="H8" s="531"/>
      <c r="I8" s="531"/>
      <c r="J8" s="531"/>
      <c r="K8" s="531"/>
      <c r="L8" s="532"/>
      <c r="M8" s="359">
        <f>SUM(M6:M7)</f>
        <v>746490.90670000005</v>
      </c>
      <c r="N8" s="359">
        <f>SUM(N6)</f>
        <v>585440.95638900006</v>
      </c>
      <c r="O8" s="360">
        <f>+N8/M8</f>
        <v>0.78425731798535792</v>
      </c>
      <c r="P8" s="359">
        <f>SUM(P6)</f>
        <v>0</v>
      </c>
      <c r="Q8" s="418">
        <f>+P8/M8</f>
        <v>0</v>
      </c>
      <c r="R8" s="195"/>
      <c r="S8" s="195"/>
      <c r="T8" s="196" t="s">
        <v>582</v>
      </c>
      <c r="U8" s="197" t="s">
        <v>583</v>
      </c>
      <c r="V8" s="198">
        <v>3300.848414</v>
      </c>
      <c r="W8" s="196">
        <f t="shared" ref="W8" si="0">+V8</f>
        <v>3300.848414</v>
      </c>
      <c r="X8" s="520"/>
      <c r="Y8" s="523"/>
    </row>
    <row r="9" spans="1:26" s="151" customFormat="1" ht="88.5" customHeight="1" thickBot="1">
      <c r="A9" s="510"/>
      <c r="B9" s="124" t="str">
        <f>+'Ejecución Agregado'!C27</f>
        <v>C-0301-1000-38-53105F</v>
      </c>
      <c r="C9" s="281" t="str">
        <f>+'Ejecución Agregado'!P27</f>
        <v>5. CONVERGENCIA REGIONAL / F. EFICIENCIA INSTITUCIONAL PARA EL CUMPLIMIENTO DE LOS ACUERDOS REALIZADOS CON LAS COMUNIDADES</v>
      </c>
      <c r="D9" s="280" t="s">
        <v>584</v>
      </c>
      <c r="E9" s="124" t="s">
        <v>585</v>
      </c>
      <c r="F9" s="124" t="s">
        <v>586</v>
      </c>
      <c r="G9" s="126">
        <f>+'x proyecto'!F6</f>
        <v>20500</v>
      </c>
      <c r="H9" s="126">
        <f>+'x proyecto'!G6</f>
        <v>4031.0974679999999</v>
      </c>
      <c r="I9" s="126">
        <f>+'x proyecto'!I6</f>
        <v>203.096405</v>
      </c>
      <c r="J9" s="280">
        <f>+'x proyecto'!D6</f>
        <v>11</v>
      </c>
      <c r="K9" s="280" t="str">
        <f>+'x proyecto'!E6</f>
        <v xml:space="preserve"> Nación  </v>
      </c>
      <c r="L9" s="124" t="s">
        <v>587</v>
      </c>
      <c r="M9" s="235">
        <f>+GETPIVOTDATA("APR, VIGENTE",'dinamica APR VIGENTE'!$A$3,"DESCRIPCION DEP GASTO","DIRECCIÓN DE SEGUIMIENTO Y EVALUACIÓN DE POLÍTICAS PÚBLICAS - DSEPP","FORMULA 1","C-0301-1000-38")/1000000</f>
        <v>21000</v>
      </c>
      <c r="N9" s="235">
        <f>+GETPIVOTDATA("COMPROMISO",'dinamica COMPR'!$A$3,"DESCRIPCION DEP GASTO","DIRECCIÓN DE SEGUIMIENTO Y EVALUACIÓN DE POLÍTICAS PÚBLICAS - DSEPP","FORMULA 1","C-0301-1000-38")/1000000</f>
        <v>7784.0945659999998</v>
      </c>
      <c r="O9" s="135">
        <f t="shared" ref="O9:O13" si="1">+N9/M9</f>
        <v>0.3706711698095238</v>
      </c>
      <c r="P9" s="235">
        <f>+GETPIVOTDATA("OBLIGACION",'dinamica Oblig'!$A$3,"DESCRIPCION DEP GASTO","DIRECCIÓN DE SEGUIMIENTO Y EVALUACIÓN DE POLÍTICAS PÚBLICAS - DSEPP","FORMULA 1","C-0301-1000-38")/1000000</f>
        <v>368.04021999999998</v>
      </c>
      <c r="Q9" s="145">
        <f t="shared" ref="Q9:Q13" si="2">+P9/M9</f>
        <v>1.7525724761904761E-2</v>
      </c>
      <c r="U9" s="107" t="s">
        <v>575</v>
      </c>
      <c r="V9" s="108" t="s">
        <v>588</v>
      </c>
      <c r="W9" s="109">
        <v>12787.742681</v>
      </c>
      <c r="X9" s="521"/>
      <c r="Y9" s="523"/>
      <c r="Z9" s="124" t="s">
        <v>589</v>
      </c>
    </row>
    <row r="10" spans="1:26" s="194" customFormat="1" ht="45" customHeight="1" thickTop="1" thickBot="1">
      <c r="A10" s="510"/>
      <c r="B10" s="298"/>
      <c r="C10" s="530" t="s">
        <v>590</v>
      </c>
      <c r="D10" s="531"/>
      <c r="E10" s="531"/>
      <c r="F10" s="531"/>
      <c r="G10" s="531"/>
      <c r="H10" s="531"/>
      <c r="I10" s="531"/>
      <c r="J10" s="531"/>
      <c r="K10" s="531"/>
      <c r="L10" s="532"/>
      <c r="M10" s="359">
        <f>SUM(M9)</f>
        <v>21000</v>
      </c>
      <c r="N10" s="359">
        <f>SUM(N9)</f>
        <v>7784.0945659999998</v>
      </c>
      <c r="O10" s="360">
        <f>+N10/M10</f>
        <v>0.3706711698095238</v>
      </c>
      <c r="P10" s="359">
        <f>SUM(P9)</f>
        <v>368.04021999999998</v>
      </c>
      <c r="Q10" s="418">
        <f>+P10/M10</f>
        <v>1.7525724761904761E-2</v>
      </c>
      <c r="R10" s="195"/>
      <c r="S10" s="195"/>
      <c r="T10" s="196" t="s">
        <v>582</v>
      </c>
      <c r="U10" s="197" t="s">
        <v>583</v>
      </c>
      <c r="V10" s="198">
        <v>3300.848414</v>
      </c>
      <c r="W10" s="196">
        <f t="shared" ref="W10" si="3">+V10</f>
        <v>3300.848414</v>
      </c>
      <c r="X10" s="373"/>
      <c r="Y10" s="150"/>
    </row>
    <row r="11" spans="1:26" s="151" customFormat="1" ht="78" customHeight="1" thickTop="1">
      <c r="A11" s="510"/>
      <c r="B11" s="512" t="str">
        <f>+'Ejecución Agregado'!C29</f>
        <v>C-0301-1000-40-803001</v>
      </c>
      <c r="C11" s="527" t="str">
        <f>+'Ejecución Agregado'!P29</f>
        <v>8. ESTABILIDAD MACROECONÓMICA / 1. ADMINISTRACIÓN EFICIENTE DE LOS RECURSOS PÚBLICOS</v>
      </c>
      <c r="D11" s="280" t="s">
        <v>591</v>
      </c>
      <c r="E11" s="512" t="s">
        <v>592</v>
      </c>
      <c r="F11" s="512" t="s">
        <v>593</v>
      </c>
      <c r="G11" s="511"/>
      <c r="H11" s="511"/>
      <c r="I11" s="511"/>
      <c r="J11" s="515" t="str">
        <f>+'x proyecto'!D14</f>
        <v>11</v>
      </c>
      <c r="K11" s="515" t="str">
        <f>+'x proyecto'!E14</f>
        <v xml:space="preserve"> Nación  </v>
      </c>
      <c r="L11" s="124" t="s">
        <v>594</v>
      </c>
      <c r="M11" s="235">
        <f>+GETPIVOTDATA("APR, VIGENTE",'dinamica APR VIGENTE'!$A$3,"DESCRIPCION DEP GASTO","DIRECCIÓN DE PROGRAMACIÓN DE INVERSIONES PÚBLICAS - DPIP","FORMULA 1","C-0301-1000-40")/1000000</f>
        <v>4418.0040099999997</v>
      </c>
      <c r="N11" s="235">
        <f>+GETPIVOTDATA("COMPROMISO",'dinamica COMPR'!$A$3,"DESCRIPCION DEP GASTO","DIRECCIÓN DE PROGRAMACIÓN DE INVERSIONES PÚBLICAS - DPIP","FORMULA 1","C-0301-1000-40")/1000000</f>
        <v>3235.8077109999999</v>
      </c>
      <c r="O11" s="135">
        <f t="shared" si="1"/>
        <v>0.73241393708015223</v>
      </c>
      <c r="P11" s="235">
        <f>+GETPIVOTDATA("OBLIGACION",'dinamica Oblig'!$A$3,"DESCRIPCION DEP GASTO","DIRECCIÓN DE PROGRAMACIÓN DE INVERSIONES PÚBLICAS - DPIP","FORMULA 1","C-0301-1000-40")/1000000</f>
        <v>249.10286500000001</v>
      </c>
      <c r="Q11" s="131">
        <f t="shared" si="2"/>
        <v>5.638357603029881E-2</v>
      </c>
      <c r="U11" s="107" t="s">
        <v>584</v>
      </c>
      <c r="V11" s="108" t="s">
        <v>595</v>
      </c>
      <c r="W11" s="109">
        <v>10595.205</v>
      </c>
      <c r="X11" s="524">
        <f>+W11+W12</f>
        <v>13731.175969</v>
      </c>
      <c r="Y11" s="526" t="e">
        <f>+X11/#REF!</f>
        <v>#REF!</v>
      </c>
    </row>
    <row r="12" spans="1:26" s="151" customFormat="1" ht="53.25" customHeight="1" thickBot="1">
      <c r="A12" s="510"/>
      <c r="B12" s="513"/>
      <c r="C12" s="528"/>
      <c r="D12" s="280" t="s">
        <v>596</v>
      </c>
      <c r="E12" s="513"/>
      <c r="F12" s="513"/>
      <c r="G12" s="511"/>
      <c r="H12" s="511"/>
      <c r="I12" s="511"/>
      <c r="J12" s="516"/>
      <c r="K12" s="516"/>
      <c r="L12" s="124" t="s">
        <v>597</v>
      </c>
      <c r="M12" s="235">
        <f>+GETPIVOTDATA("APR, VIGENTE",'dinamica APR VIGENTE'!$A$3,"DESCRIPCION DEP GASTO","DIRECCIÓN DE PROYECTOS E INFORMACIÓN PARA LA INVERSIÓN - DPII","FORMULA 1","C-0301-1000-40")/1000000</f>
        <v>9416.5544210000007</v>
      </c>
      <c r="N12" s="235">
        <f>+GETPIVOTDATA("COMPROMISO",'dinamica COMPR'!$A$3,"DESCRIPCION DEP GASTO","DIRECCIÓN DE PROYECTOS E INFORMACIÓN PARA LA INVERSIÓN - DPII","FORMULA 1","C-0301-1000-40")/1000000</f>
        <v>8370.7151959999992</v>
      </c>
      <c r="O12" s="135">
        <f t="shared" si="1"/>
        <v>0.88893610356377706</v>
      </c>
      <c r="P12" s="235">
        <f>+GETPIVOTDATA("OBLIGACION",'dinamica Oblig'!$A$3,"DESCRIPCION DEP GASTO","DIRECCIÓN DE PROYECTOS E INFORMACIÓN PARA LA INVERSIÓN - DPII","FORMULA 1","C-0301-1000-40")/1000000</f>
        <v>728.98444500000005</v>
      </c>
      <c r="Q12" s="131">
        <f t="shared" si="2"/>
        <v>7.7415200126097164E-2</v>
      </c>
      <c r="U12" s="107" t="s">
        <v>584</v>
      </c>
      <c r="V12" s="108" t="s">
        <v>598</v>
      </c>
      <c r="W12" s="109">
        <v>3135.970969</v>
      </c>
      <c r="X12" s="525"/>
      <c r="Y12" s="526"/>
    </row>
    <row r="13" spans="1:26" s="151" customFormat="1" ht="82.5" customHeight="1" thickTop="1">
      <c r="A13" s="510"/>
      <c r="B13" s="514"/>
      <c r="C13" s="529"/>
      <c r="D13" s="280" t="s">
        <v>599</v>
      </c>
      <c r="E13" s="514"/>
      <c r="F13" s="514"/>
      <c r="G13" s="511"/>
      <c r="H13" s="511"/>
      <c r="I13" s="511"/>
      <c r="J13" s="517"/>
      <c r="K13" s="517"/>
      <c r="L13" s="124" t="s">
        <v>578</v>
      </c>
      <c r="M13" s="235">
        <f>+GETPIVOTDATA("APR, VIGENTE",'dinamica APR VIGENTE'!$A$3,"DESCRIPCION DEP GASTO","SUBDIRECCIÓN GENERAL DE INVERSIONES, SEGUIMIENTO Y EVALUACIÓN - SGISE","FORMULA 1","C-0301-1000-40")/1000000</f>
        <v>7532.4415689999996</v>
      </c>
      <c r="N13" s="235">
        <f>+GETPIVOTDATA("COMPROMISO",'dinamica COMPR'!$A$3,"DESCRIPCION DEP GASTO","SUBDIRECCIÓN GENERAL DE INVERSIONES, SEGUIMIENTO Y EVALUACIÓN - SGISE","FORMULA 1","C-0301-1000-40")/1000000</f>
        <v>2212.4712840000002</v>
      </c>
      <c r="O13" s="135">
        <f t="shared" si="1"/>
        <v>0.29372564841465154</v>
      </c>
      <c r="P13" s="235">
        <f>+GETPIVOTDATA("OBLIGACION",'dinamica Oblig'!$A$3,"DESCRIPCION DEP GASTO","SUBDIRECCIÓN GENERAL DE INVERSIONES, SEGUIMIENTO Y EVALUACIÓN - SGISE","FORMULA 1","C-0301-1000-40")/1000000</f>
        <v>141.30416399999999</v>
      </c>
      <c r="Q13" s="145">
        <f t="shared" si="2"/>
        <v>1.8759410571671967E-2</v>
      </c>
      <c r="U13" s="104" t="s">
        <v>600</v>
      </c>
      <c r="V13" s="105" t="s">
        <v>601</v>
      </c>
      <c r="W13" s="106">
        <v>20197.266973999998</v>
      </c>
      <c r="X13" s="111">
        <f>+W13</f>
        <v>20197.266973999998</v>
      </c>
      <c r="Y13" s="150" t="e">
        <f>+X13/#REF!</f>
        <v>#REF!</v>
      </c>
    </row>
    <row r="14" spans="1:26" s="194" customFormat="1" ht="45" customHeight="1">
      <c r="A14" s="281"/>
      <c r="B14" s="298"/>
      <c r="C14" s="530" t="s">
        <v>602</v>
      </c>
      <c r="D14" s="531"/>
      <c r="E14" s="531"/>
      <c r="F14" s="531"/>
      <c r="G14" s="531"/>
      <c r="H14" s="531"/>
      <c r="I14" s="531"/>
      <c r="J14" s="531"/>
      <c r="K14" s="531"/>
      <c r="L14" s="532"/>
      <c r="M14" s="359">
        <f>SUM(M11:M13)</f>
        <v>21367</v>
      </c>
      <c r="N14" s="359">
        <f>SUM(N11:N13)</f>
        <v>13818.994190999998</v>
      </c>
      <c r="O14" s="360">
        <f>+N14/M14</f>
        <v>0.64674470870969247</v>
      </c>
      <c r="P14" s="359">
        <f>SUM(P11:P13)</f>
        <v>1119.391474</v>
      </c>
      <c r="Q14" s="345">
        <f>+P14/M14</f>
        <v>5.2388799269902184E-2</v>
      </c>
      <c r="R14" s="195"/>
      <c r="S14" s="195"/>
      <c r="T14" s="196" t="s">
        <v>582</v>
      </c>
      <c r="U14" s="197" t="s">
        <v>583</v>
      </c>
      <c r="V14" s="198">
        <v>3300.848414</v>
      </c>
      <c r="W14" s="196">
        <f t="shared" ref="W14" si="4">+V14</f>
        <v>3300.848414</v>
      </c>
      <c r="X14" s="373"/>
      <c r="Y14" s="150"/>
    </row>
    <row r="15" spans="1:26" s="151" customFormat="1" ht="96.75" customHeight="1">
      <c r="B15" s="124" t="str">
        <f>+'Ejecución Agregado'!C23</f>
        <v>C-0301-1000-31-53105B</v>
      </c>
      <c r="C15" s="309" t="str">
        <f>+'Ejecución Agregado'!P23</f>
        <v>5. CONVERGENCIA REGIONAL / B. ENTIDADES PÚBLICAS TERRITORIALES Y NACIONALES FORTALECIDAS</v>
      </c>
      <c r="D15" s="296" t="s">
        <v>603</v>
      </c>
      <c r="E15" s="308" t="s">
        <v>604</v>
      </c>
      <c r="F15" s="308" t="s">
        <v>593</v>
      </c>
      <c r="G15" s="376" t="s">
        <v>589</v>
      </c>
      <c r="H15" s="376">
        <v>11</v>
      </c>
      <c r="I15" s="376" t="s">
        <v>38</v>
      </c>
      <c r="J15" s="296">
        <v>11</v>
      </c>
      <c r="K15" s="296" t="s">
        <v>38</v>
      </c>
      <c r="L15" s="308" t="s">
        <v>605</v>
      </c>
      <c r="M15" s="244">
        <f>+GETPIVOTDATA("APR, VIGENTE",'dinamica APR VIGENTE'!$A$3,"DESCRIPCION DEP GASTO","DNP GESTION GENERAL","FORMULA 1","C-0301-1000-31")/1000000</f>
        <v>30000</v>
      </c>
      <c r="N15" s="244">
        <f>+GETPIVOTDATA("COMPROMISO",'dinamica COMPR'!$A$3,"DESCRIPCION DEP GASTO","OFICINA ASESORA DE PLANEACIÓN - OAP","FORMULA 1","C-0301-1000-31")/1000000</f>
        <v>0</v>
      </c>
      <c r="O15" s="377">
        <f>+N15/M15</f>
        <v>0</v>
      </c>
      <c r="P15" s="244">
        <f>+GETPIVOTDATA("OBLIGACION",'dinamica Oblig'!$A$3,"DESCRIPCION DEP GASTO","OFICINA ASESORA DE PLANEACIÓN - OAP","FORMULA 1","C-0301-1000-31")/1000000</f>
        <v>0</v>
      </c>
      <c r="Q15" s="378">
        <f>+P15/M15</f>
        <v>0</v>
      </c>
      <c r="U15" s="107"/>
      <c r="V15" s="108"/>
      <c r="W15" s="109"/>
      <c r="Z15" s="308" t="s">
        <v>606</v>
      </c>
    </row>
    <row r="16" spans="1:26" s="120" customFormat="1" ht="42" customHeight="1" thickBot="1">
      <c r="C16" s="533" t="s">
        <v>607</v>
      </c>
      <c r="D16" s="533"/>
      <c r="E16" s="533"/>
      <c r="F16" s="533"/>
      <c r="G16" s="533"/>
      <c r="H16" s="533"/>
      <c r="I16" s="533"/>
      <c r="J16" s="533"/>
      <c r="K16" s="533"/>
      <c r="L16" s="533"/>
      <c r="M16" s="379">
        <f>SUM(M15)</f>
        <v>30000</v>
      </c>
      <c r="N16" s="379">
        <f>SUM(N15)</f>
        <v>0</v>
      </c>
      <c r="O16" s="380">
        <f>+N16/M16</f>
        <v>0</v>
      </c>
      <c r="P16" s="379">
        <f>+P15</f>
        <v>0</v>
      </c>
      <c r="Q16" s="372">
        <f>+P16/M16</f>
        <v>0</v>
      </c>
      <c r="R16" s="93"/>
      <c r="S16" s="137">
        <f>SUM(S15:S15)</f>
        <v>0</v>
      </c>
      <c r="T16" s="137">
        <f>SUM(T15:T15)</f>
        <v>0</v>
      </c>
      <c r="U16" s="140"/>
      <c r="W16" s="138"/>
    </row>
    <row r="17" spans="1:18" ht="38.25" customHeight="1" thickTop="1" thickBot="1">
      <c r="A17" s="211"/>
      <c r="B17" s="374"/>
      <c r="C17" s="518" t="s">
        <v>608</v>
      </c>
      <c r="D17" s="518"/>
      <c r="E17" s="518"/>
      <c r="F17" s="518"/>
      <c r="G17" s="518"/>
      <c r="H17" s="518"/>
      <c r="I17" s="518"/>
      <c r="J17" s="518"/>
      <c r="K17" s="518"/>
      <c r="L17" s="518"/>
      <c r="M17" s="375">
        <f>+M8+M10+M14+M16</f>
        <v>818857.90670000005</v>
      </c>
      <c r="N17" s="375">
        <f>+N8+N10+N14+N16</f>
        <v>607044.04514600011</v>
      </c>
      <c r="O17" s="158">
        <f>+N17/M17</f>
        <v>0.74133013820723737</v>
      </c>
      <c r="P17" s="375">
        <f>+P8+P10+P14+P16</f>
        <v>1487.4316939999999</v>
      </c>
      <c r="Q17" s="295">
        <f>+P17/M17</f>
        <v>1.816471065162397E-3</v>
      </c>
      <c r="R17" s="112"/>
    </row>
    <row r="18" spans="1:18" ht="13.2" thickTop="1">
      <c r="A18" s="113"/>
      <c r="L18" s="114"/>
      <c r="P18" s="240"/>
    </row>
    <row r="19" spans="1:18">
      <c r="A19" s="113"/>
      <c r="L19" s="114"/>
    </row>
    <row r="20" spans="1:18">
      <c r="A20" s="113"/>
      <c r="L20" s="114"/>
      <c r="M20" s="93">
        <v>818858</v>
      </c>
    </row>
    <row r="21" spans="1:18">
      <c r="A21" s="113"/>
      <c r="L21" s="114"/>
      <c r="M21" s="142">
        <f>+M17-M20</f>
        <v>-9.3299999949522316E-2</v>
      </c>
    </row>
    <row r="22" spans="1:18">
      <c r="A22" s="113"/>
      <c r="L22" s="114"/>
    </row>
    <row r="23" spans="1:18">
      <c r="A23" s="113"/>
      <c r="F23" s="123"/>
      <c r="L23" s="114"/>
    </row>
    <row r="24" spans="1:18">
      <c r="A24" s="113"/>
      <c r="L24" s="114"/>
    </row>
    <row r="25" spans="1:18">
      <c r="A25" s="113"/>
      <c r="L25" s="114"/>
    </row>
    <row r="26" spans="1:18">
      <c r="A26" s="113"/>
      <c r="L26" s="114"/>
    </row>
    <row r="27" spans="1:18">
      <c r="A27" s="113"/>
      <c r="L27" s="114"/>
    </row>
    <row r="28" spans="1:18" ht="13.2" thickBot="1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7"/>
    </row>
    <row r="29" spans="1:18" ht="13.2" thickTop="1"/>
  </sheetData>
  <sortState ref="U7:W16">
    <sortCondition ref="U6"/>
  </sortState>
  <mergeCells count="21">
    <mergeCell ref="C17:L17"/>
    <mergeCell ref="X6:X9"/>
    <mergeCell ref="Y6:Y9"/>
    <mergeCell ref="X11:X12"/>
    <mergeCell ref="Y11:Y12"/>
    <mergeCell ref="C11:C13"/>
    <mergeCell ref="E11:E13"/>
    <mergeCell ref="F11:F13"/>
    <mergeCell ref="C8:L8"/>
    <mergeCell ref="C10:L10"/>
    <mergeCell ref="C14:L14"/>
    <mergeCell ref="C16:L16"/>
    <mergeCell ref="C7:L7"/>
    <mergeCell ref="J5:K5"/>
    <mergeCell ref="A6:A13"/>
    <mergeCell ref="G11:G13"/>
    <mergeCell ref="H11:H13"/>
    <mergeCell ref="I11:I13"/>
    <mergeCell ref="B11:B13"/>
    <mergeCell ref="J11:J13"/>
    <mergeCell ref="K11:K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opLeftCell="A8" zoomScale="60" zoomScaleNormal="60" workbookViewId="0">
      <selection activeCell="L7" sqref="L7"/>
    </sheetView>
  </sheetViews>
  <sheetFormatPr baseColWidth="10" defaultColWidth="11.44140625" defaultRowHeight="13.8"/>
  <cols>
    <col min="1" max="1" width="16.88671875" style="182" customWidth="1"/>
    <col min="2" max="2" width="29" style="182" customWidth="1"/>
    <col min="3" max="3" width="45.33203125" style="182" customWidth="1"/>
    <col min="4" max="4" width="24.33203125" style="182" customWidth="1"/>
    <col min="5" max="5" width="16.88671875" style="182" customWidth="1"/>
    <col min="6" max="8" width="11.44140625" style="182" hidden="1" customWidth="1"/>
    <col min="9" max="9" width="13.5546875" style="182" customWidth="1"/>
    <col min="10" max="10" width="11.33203125" style="182" customWidth="1"/>
    <col min="11" max="11" width="32" style="182" customWidth="1"/>
    <col min="12" max="12" width="21.109375" style="182" customWidth="1"/>
    <col min="13" max="13" width="18" style="182" customWidth="1"/>
    <col min="14" max="14" width="12.33203125" style="183" customWidth="1"/>
    <col min="15" max="15" width="16.109375" style="182" customWidth="1"/>
    <col min="16" max="16" width="15.44140625" style="182" customWidth="1"/>
    <col min="17" max="18" width="11.44140625" style="182"/>
    <col min="19" max="19" width="28.33203125" style="182" customWidth="1"/>
    <col min="20" max="20" width="30.44140625" style="182" hidden="1" customWidth="1"/>
    <col min="21" max="21" width="190.109375" style="182" hidden="1" customWidth="1"/>
    <col min="22" max="22" width="20.33203125" style="182" hidden="1" customWidth="1"/>
    <col min="23" max="23" width="26.6640625" style="182" hidden="1" customWidth="1"/>
    <col min="24" max="24" width="24.33203125" style="182" hidden="1" customWidth="1"/>
    <col min="25" max="16384" width="11.44140625" style="182"/>
  </cols>
  <sheetData>
    <row r="1" spans="1:24" ht="16.2">
      <c r="Q1" s="179" t="s">
        <v>531</v>
      </c>
      <c r="R1" s="179" t="s">
        <v>532</v>
      </c>
    </row>
    <row r="2" spans="1:24" ht="19.8">
      <c r="A2" s="184" t="s">
        <v>609</v>
      </c>
      <c r="C2" s="184" t="s">
        <v>609</v>
      </c>
      <c r="Q2" s="180" t="s">
        <v>533</v>
      </c>
      <c r="R2" s="180" t="s">
        <v>534</v>
      </c>
    </row>
    <row r="3" spans="1:24" ht="16.2">
      <c r="Q3" s="181" t="s">
        <v>536</v>
      </c>
      <c r="R3" s="181" t="s">
        <v>537</v>
      </c>
    </row>
    <row r="4" spans="1:24" ht="48" customHeight="1" thickBot="1">
      <c r="C4" s="143" t="s">
        <v>535</v>
      </c>
      <c r="D4" s="144" t="str">
        <f>+SGDDT!E3</f>
        <v>Fecha: corte 13 de marzo 2024</v>
      </c>
      <c r="S4" s="92"/>
      <c r="T4" s="92"/>
    </row>
    <row r="5" spans="1:24" ht="60.75" customHeight="1" thickTop="1" thickBot="1">
      <c r="A5" s="185" t="s">
        <v>511</v>
      </c>
      <c r="B5" s="185" t="s">
        <v>512</v>
      </c>
      <c r="C5" s="186" t="s">
        <v>513</v>
      </c>
      <c r="D5" s="186" t="s">
        <v>573</v>
      </c>
      <c r="E5" s="186" t="s">
        <v>540</v>
      </c>
      <c r="F5" s="186" t="s">
        <v>541</v>
      </c>
      <c r="G5" s="186" t="s">
        <v>29</v>
      </c>
      <c r="H5" s="186" t="s">
        <v>542</v>
      </c>
      <c r="I5" s="547" t="s">
        <v>514</v>
      </c>
      <c r="J5" s="547"/>
      <c r="K5" s="186" t="s">
        <v>538</v>
      </c>
      <c r="L5" s="186" t="s">
        <v>543</v>
      </c>
      <c r="M5" s="186" t="s">
        <v>544</v>
      </c>
      <c r="N5" s="186" t="s">
        <v>545</v>
      </c>
      <c r="O5" s="186" t="s">
        <v>546</v>
      </c>
      <c r="P5" s="186" t="s">
        <v>547</v>
      </c>
      <c r="S5" s="92"/>
      <c r="T5" s="187" t="s">
        <v>548</v>
      </c>
      <c r="U5" s="188" t="s">
        <v>549</v>
      </c>
      <c r="V5" s="189" t="s">
        <v>550</v>
      </c>
      <c r="W5" s="187" t="s">
        <v>551</v>
      </c>
      <c r="X5" s="187" t="s">
        <v>574</v>
      </c>
    </row>
    <row r="6" spans="1:24" s="194" customFormat="1" ht="94.5" customHeight="1" thickTop="1">
      <c r="A6" s="306" t="s">
        <v>553</v>
      </c>
      <c r="B6" s="218" t="str">
        <f>+'Ejecución Agregado'!C28</f>
        <v>C-0301-1000-39-53105F</v>
      </c>
      <c r="C6" s="218" t="str">
        <f>+'Ejecución Agregado'!P28</f>
        <v>5. CONVERGENCIA REGIONAL / F. EFICIENCIA INSTITUCIONAL PARA EL CUMPLIMIENTO DE LOS ACUERDOS REALIZADOS CON LAS COMUNIDADES</v>
      </c>
      <c r="D6" s="190" t="s">
        <v>610</v>
      </c>
      <c r="E6" s="190" t="s">
        <v>611</v>
      </c>
      <c r="F6" s="191">
        <f>+'x proyecto'!F7</f>
        <v>15666.171505</v>
      </c>
      <c r="G6" s="191">
        <f>+'x proyecto'!G7</f>
        <v>8447.7687600000008</v>
      </c>
      <c r="H6" s="191">
        <f>+'x proyecto'!I7</f>
        <v>260.15210100000002</v>
      </c>
      <c r="I6" s="192">
        <v>11</v>
      </c>
      <c r="J6" s="192" t="str">
        <f>+'x proyecto'!E7</f>
        <v xml:space="preserve"> Nación  </v>
      </c>
      <c r="K6" s="190" t="s">
        <v>612</v>
      </c>
      <c r="L6" s="228">
        <f>+GETPIVOTDATA("APR, VIGENTE",'dinamica APR VIGENTE'!$A$3,"DESCRIPCION DEP GASTO","DIRECCION DE DESARROLLO SOCIAL - DDS","FORMULA 1","C-0301-1000-39")/1000000</f>
        <v>7040</v>
      </c>
      <c r="M6" s="228">
        <f>+GETPIVOTDATA("COMPROMISO",'dinamica COMPR'!$A$3,"DESCRIPCION DEP GASTO","DIRECCION DE DESARROLLO SOCIAL - DDS","FORMULA 1","C-0301-1000-39")/1000000</f>
        <v>2601.8182780000002</v>
      </c>
      <c r="N6" s="193">
        <f>+M6/L6</f>
        <v>0.36957645994318183</v>
      </c>
      <c r="O6" s="228">
        <f>+GETPIVOTDATA("OBLIGACION",'dinamica Oblig'!$A$3,"DESCRIPCION DEP GASTO","DIRECCION DE DESARROLLO SOCIAL - DDS","FORMULA 1","C-0301-1000-39")/1000000</f>
        <v>194.67010200000001</v>
      </c>
      <c r="P6" s="299">
        <f>+O6/L6</f>
        <v>2.7652003125000001E-2</v>
      </c>
      <c r="R6" s="195"/>
      <c r="S6" s="195"/>
      <c r="T6" s="196" t="s">
        <v>613</v>
      </c>
      <c r="U6" s="197" t="s">
        <v>583</v>
      </c>
      <c r="V6" s="198">
        <v>3680.053903</v>
      </c>
      <c r="W6" s="196">
        <f>+V6</f>
        <v>3680.053903</v>
      </c>
      <c r="X6" s="199" t="e">
        <f>+W6/#REF!</f>
        <v>#REF!</v>
      </c>
    </row>
    <row r="7" spans="1:24" s="194" customFormat="1" ht="45" customHeight="1">
      <c r="A7" s="306"/>
      <c r="B7" s="298"/>
      <c r="C7" s="551" t="s">
        <v>614</v>
      </c>
      <c r="D7" s="551"/>
      <c r="E7" s="551"/>
      <c r="F7" s="551"/>
      <c r="G7" s="551"/>
      <c r="H7" s="551"/>
      <c r="I7" s="551"/>
      <c r="J7" s="551"/>
      <c r="K7" s="551"/>
      <c r="L7" s="229">
        <f>+L6</f>
        <v>7040</v>
      </c>
      <c r="M7" s="229">
        <f>+M6</f>
        <v>2601.8182780000002</v>
      </c>
      <c r="N7" s="201">
        <f>+M7/L7</f>
        <v>0.36957645994318183</v>
      </c>
      <c r="O7" s="229">
        <f>+O6</f>
        <v>194.67010200000001</v>
      </c>
      <c r="P7" s="299">
        <f>+O7/L7</f>
        <v>2.7652003125000001E-2</v>
      </c>
      <c r="R7" s="195"/>
      <c r="S7" s="195"/>
      <c r="T7" s="535" t="s">
        <v>615</v>
      </c>
      <c r="U7" s="197" t="s">
        <v>583</v>
      </c>
      <c r="V7" s="198">
        <v>8290.6491590000005</v>
      </c>
      <c r="W7" s="535">
        <f>+V7+V8</f>
        <v>16106.900995</v>
      </c>
      <c r="X7" s="536" t="e">
        <f>+W7/#REF!</f>
        <v>#REF!</v>
      </c>
    </row>
    <row r="8" spans="1:24" s="194" customFormat="1" ht="69.75" customHeight="1">
      <c r="A8" s="306"/>
      <c r="B8" s="555" t="str">
        <f>+'Ejecución Agregado'!C21</f>
        <v>C-0301-1000-29-52104E</v>
      </c>
      <c r="C8" s="555" t="str">
        <f>+'Ejecución Agregado'!P21</f>
        <v>5. CONVERGENCIA REGIONAL / E. INFRAESTRUCTURA Y SERVICIOS LOGÍSTICOS</v>
      </c>
      <c r="D8" s="552" t="s">
        <v>616</v>
      </c>
      <c r="E8" s="552" t="s">
        <v>617</v>
      </c>
      <c r="F8" s="191">
        <f>+'x proyecto'!F8</f>
        <v>15603.53</v>
      </c>
      <c r="G8" s="191">
        <f>+'x proyecto'!G8</f>
        <v>9337.5884920000008</v>
      </c>
      <c r="H8" s="191">
        <f>+'x proyecto'!I8</f>
        <v>329.95608299999998</v>
      </c>
      <c r="I8" s="548" t="str">
        <f>+'x proyecto'!D8</f>
        <v>14</v>
      </c>
      <c r="J8" s="548" t="str">
        <f>+'x proyecto'!E8</f>
        <v xml:space="preserve">Crédito </v>
      </c>
      <c r="K8" s="190" t="s">
        <v>618</v>
      </c>
      <c r="L8" s="230">
        <f>+GETPIVOTDATA("APR, VIGENTE",'dinamica APR VIGENTE'!$A$3,"DESCRIPCION DEP GASTO","DIRECCION DE INFRAESTRUCTURA Y ENERGIA SOSTENIBLE - DIES","FORMULA 1","C-0301-1000-29")/1000000</f>
        <v>15232.405387000001</v>
      </c>
      <c r="M8" s="230">
        <f>+GETPIVOTDATA("COMPROMISO",'dinamica COMPR'!$A$3,"DESCRIPCION DEP GASTO","DIRECCION DE INFRAESTRUCTURA Y ENERGIA SOSTENIBLE - DIES","FORMULA 1","C-0301-1000-29")/1000000</f>
        <v>8156.8026419999997</v>
      </c>
      <c r="N8" s="202">
        <f t="shared" ref="N8:N12" si="0">+M8/L8</f>
        <v>0.5354901235074383</v>
      </c>
      <c r="O8" s="230">
        <f>+GETPIVOTDATA("OBLIGACION",'dinamica Oblig'!$A$3,"DESCRIPCION DEP GASTO","DIRECCION DE INFRAESTRUCTURA Y ENERGIA SOSTENIBLE - DIES","FORMULA 1","C-0301-1000-29")/1000000</f>
        <v>216.46598299999999</v>
      </c>
      <c r="P8" s="299">
        <f t="shared" ref="P8:P12" si="1">+O8/L8</f>
        <v>1.4210886429318741E-2</v>
      </c>
      <c r="R8" s="195"/>
      <c r="S8" s="195"/>
      <c r="T8" s="535"/>
      <c r="U8" s="197" t="s">
        <v>619</v>
      </c>
      <c r="V8" s="198">
        <v>7816.2518360000004</v>
      </c>
      <c r="W8" s="535"/>
      <c r="X8" s="536"/>
    </row>
    <row r="9" spans="1:24" s="194" customFormat="1" ht="69.75" customHeight="1">
      <c r="A9" s="306"/>
      <c r="B9" s="556"/>
      <c r="C9" s="556"/>
      <c r="D9" s="553"/>
      <c r="E9" s="553"/>
      <c r="F9" s="191">
        <f>+'x proyecto'!F9</f>
        <v>30000</v>
      </c>
      <c r="G9" s="191">
        <f>+'x proyecto'!G9</f>
        <v>0</v>
      </c>
      <c r="H9" s="191">
        <f>+'x proyecto'!I9</f>
        <v>0</v>
      </c>
      <c r="I9" s="549"/>
      <c r="J9" s="549"/>
      <c r="K9" s="190" t="s">
        <v>620</v>
      </c>
      <c r="L9" s="230">
        <f>+GETPIVOTDATA("APR, VIGENTE",'dinamica APR VIGENTE'!$A$3,"DESCRIPCION DEP GASTO","SUBDIRECCIÓN DE CONTRATACIÓN - SCT","FORMULA 1","C-0301-1000-29")/1000000</f>
        <v>142.80000000000001</v>
      </c>
      <c r="M9" s="230">
        <f>+GETPIVOTDATA("COMPROMISO",'dinamica COMPR'!$A$3,"DESCRIPCION DEP GASTO","SUBDIRECCIÓN DE CONTRATACIÓN - SCT","FORMULA 1","C-0301-1000-29")/1000000</f>
        <v>0</v>
      </c>
      <c r="N9" s="202">
        <f t="shared" ref="N9" si="2">+M9/L9</f>
        <v>0</v>
      </c>
      <c r="O9" s="230">
        <f>+GETPIVOTDATA("OBLIGACION",'dinamica Oblig'!$A$3,"DESCRIPCION DEP GASTO","SUBDIRECCIÓN DE CONTRATACIÓN - SCT","FORMULA 1","C-0301-1000-29")/1000000</f>
        <v>0</v>
      </c>
      <c r="P9" s="299">
        <f t="shared" ref="P9" si="3">+O9/L9</f>
        <v>0</v>
      </c>
      <c r="R9" s="195"/>
      <c r="T9" s="196"/>
      <c r="U9" s="197" t="s">
        <v>619</v>
      </c>
      <c r="V9" s="198">
        <v>7816.2518360000004</v>
      </c>
      <c r="W9" s="196"/>
      <c r="X9" s="199"/>
    </row>
    <row r="10" spans="1:24" s="194" customFormat="1" ht="69.75" customHeight="1">
      <c r="A10" s="306"/>
      <c r="B10" s="557"/>
      <c r="C10" s="557"/>
      <c r="D10" s="554"/>
      <c r="E10" s="554"/>
      <c r="F10" s="191">
        <f>+'x proyecto'!F10</f>
        <v>51627.5</v>
      </c>
      <c r="G10" s="191">
        <f>+'x proyecto'!G10</f>
        <v>30280.936318</v>
      </c>
      <c r="H10" s="191">
        <f>+'x proyecto'!I10</f>
        <v>2466.5978340000001</v>
      </c>
      <c r="I10" s="550"/>
      <c r="J10" s="550"/>
      <c r="K10" s="190" t="s">
        <v>621</v>
      </c>
      <c r="L10" s="230">
        <f>+GETPIVOTDATA("APR, VIGENTE",'dinamica APR VIGENTE'!$A$3,"DESCRIPCION DEP GASTO","SUBDIRECCION FINANCIERA - SF","FORMULA 1","C-0301-1000-29")/1000000</f>
        <v>290.96611799999999</v>
      </c>
      <c r="M10" s="230">
        <f>+GETPIVOTDATA("COMPROMISO",'dinamica COMPR'!$A$3,"DESCRIPCION DEP GASTO","SUBDIRECCION FINANCIERA - SF","FORMULA 1","C-0301-1000-29")/1000000</f>
        <v>290.96611799999999</v>
      </c>
      <c r="N10" s="202">
        <f t="shared" ref="N10" si="4">+M10/L10</f>
        <v>1</v>
      </c>
      <c r="O10" s="230">
        <f>+GETPIVOTDATA("OBLIGACION",'dinamica Oblig'!$A$3,"DESCRIPCION DEP GASTO","SUBDIRECCION FINANCIERA - SF","FORMULA 1","C-0301-1000-29")/1000000</f>
        <v>43.686118</v>
      </c>
      <c r="P10" s="299">
        <f t="shared" ref="P10" si="5">+O10/L10</f>
        <v>0.15014159827365192</v>
      </c>
      <c r="R10" s="195"/>
      <c r="T10" s="196"/>
      <c r="U10" s="197" t="s">
        <v>619</v>
      </c>
      <c r="V10" s="198">
        <v>7816.2518360000004</v>
      </c>
      <c r="W10" s="196"/>
      <c r="X10" s="199"/>
    </row>
    <row r="11" spans="1:24" s="194" customFormat="1" ht="45" customHeight="1">
      <c r="A11" s="306"/>
      <c r="B11" s="298"/>
      <c r="C11" s="551" t="s">
        <v>622</v>
      </c>
      <c r="D11" s="551"/>
      <c r="E11" s="551"/>
      <c r="F11" s="551"/>
      <c r="G11" s="551"/>
      <c r="H11" s="551"/>
      <c r="I11" s="551"/>
      <c r="J11" s="551"/>
      <c r="K11" s="551"/>
      <c r="L11" s="229">
        <f>SUM(L8:L10)</f>
        <v>15666.171505</v>
      </c>
      <c r="M11" s="229">
        <f>SUM(M8:M10)</f>
        <v>8447.768759999999</v>
      </c>
      <c r="N11" s="201">
        <f>+M11/L11</f>
        <v>0.5392363256909205</v>
      </c>
      <c r="O11" s="229">
        <f>SUM(O8:O10)</f>
        <v>260.15210100000002</v>
      </c>
      <c r="P11" s="299">
        <f>+O11/L11</f>
        <v>1.6605978104923091E-2</v>
      </c>
      <c r="R11" s="195"/>
      <c r="T11" s="196" t="s">
        <v>623</v>
      </c>
      <c r="U11" s="197" t="s">
        <v>583</v>
      </c>
      <c r="V11" s="198">
        <v>4157.0842499999999</v>
      </c>
      <c r="W11" s="196">
        <f t="shared" ref="W11:W15" si="6">+V11</f>
        <v>4157.0842499999999</v>
      </c>
      <c r="X11" s="199" t="e">
        <f>+W11/#REF!</f>
        <v>#REF!</v>
      </c>
    </row>
    <row r="12" spans="1:24" s="194" customFormat="1" ht="54" customHeight="1">
      <c r="A12" s="306"/>
      <c r="B12" s="540" t="str">
        <f>+'Ejecución Agregado'!C22</f>
        <v>C-0301-1000-30-52104E</v>
      </c>
      <c r="C12" s="540" t="str">
        <f>+'Ejecución Agregado'!P22</f>
        <v>5. CONVERGENCIA REGIONAL / E. INFRAESTRUCTURA Y SERVICIOS LOGÍSTICOS</v>
      </c>
      <c r="D12" s="541" t="s">
        <v>624</v>
      </c>
      <c r="E12" s="541" t="s">
        <v>625</v>
      </c>
      <c r="F12" s="558">
        <f>+'x proyecto'!F9</f>
        <v>30000</v>
      </c>
      <c r="G12" s="558">
        <f>+'x proyecto'!G9</f>
        <v>0</v>
      </c>
      <c r="H12" s="558">
        <f>+'x proyecto'!I9</f>
        <v>0</v>
      </c>
      <c r="I12" s="542">
        <v>14</v>
      </c>
      <c r="J12" s="542" t="str">
        <f>+'x proyecto'!E9</f>
        <v xml:space="preserve">Crédito </v>
      </c>
      <c r="K12" s="190" t="s">
        <v>620</v>
      </c>
      <c r="L12" s="230">
        <f>+GETPIVOTDATA("APR, VIGENTE",'dinamica APR VIGENTE'!$A$3,"DESCRIPCION DEP GASTO","SUBDIRECCIÓN DE CONTRATACIÓN - SCT","FORMULA 1","C-0301-1000-30")/1000000</f>
        <v>417.309191</v>
      </c>
      <c r="M12" s="230">
        <f>+GETPIVOTDATA("COMPROMISO",'dinamica COMPR'!$A$3,"DESCRIPCION DEP GASTO","SUBDIRECCIÓN DE CONTRATACIÓN - SCT","FORMULA 1","C-0301-1000-30")/1000000</f>
        <v>234.650859</v>
      </c>
      <c r="N12" s="202">
        <f t="shared" si="0"/>
        <v>0.56229496991835959</v>
      </c>
      <c r="O12" s="230">
        <f>+GETPIVOTDATA("OBLIGACION",'dinamica Oblig'!$A$3,"DESCRIPCION DEP GASTO","SUBDIRECCIÓN DE CONTRATACIÓN - SCT","FORMULA 1","C-0301-1000-30")/1000000</f>
        <v>15.288859</v>
      </c>
      <c r="P12" s="299">
        <f t="shared" si="1"/>
        <v>3.6636765567907181E-2</v>
      </c>
      <c r="R12" s="195"/>
      <c r="T12" s="196" t="s">
        <v>626</v>
      </c>
      <c r="U12" s="197" t="s">
        <v>583</v>
      </c>
      <c r="V12" s="198">
        <v>2066.3971849999998</v>
      </c>
      <c r="W12" s="196">
        <f t="shared" si="6"/>
        <v>2066.3971849999998</v>
      </c>
      <c r="X12" s="199" t="e">
        <f>+W12/#REF!</f>
        <v>#REF!</v>
      </c>
    </row>
    <row r="13" spans="1:24" s="194" customFormat="1" ht="80.25" customHeight="1">
      <c r="A13" s="306"/>
      <c r="B13" s="540"/>
      <c r="C13" s="540"/>
      <c r="D13" s="542"/>
      <c r="E13" s="541"/>
      <c r="F13" s="558"/>
      <c r="G13" s="558"/>
      <c r="H13" s="558"/>
      <c r="I13" s="542"/>
      <c r="J13" s="542"/>
      <c r="K13" s="190" t="s">
        <v>621</v>
      </c>
      <c r="L13" s="230">
        <f>+GETPIVOTDATA("APR, VIGENTE",'dinamica APR VIGENTE'!$A$3,"DESCRIPCION DEP GASTO","SUBDIRECCION FINANCIERA - SF","FORMULA 1","C-0301-1000-30")/1000000</f>
        <v>383.04910899999999</v>
      </c>
      <c r="M13" s="230">
        <f>+GETPIVOTDATA("COMPROMISO",'dinamica COMPR'!$A$3,"DESCRIPCION DEP GASTO","SUBDIRECCION FINANCIERA - SF","FORMULA 1","C-0301-1000-30")/1000000</f>
        <v>378.08761800000002</v>
      </c>
      <c r="N13" s="202">
        <f>+M13/L13</f>
        <v>0.98704737621514749</v>
      </c>
      <c r="O13" s="230">
        <f>+GETPIVOTDATA("OBLIGACION",'dinamica Oblig'!$A$3,"DESCRIPCION DEP GASTO","SUBDIRECCION FINANCIERA - SF","FORMULA 1","C-0301-1000-30")/1000000</f>
        <v>55.794274000000001</v>
      </c>
      <c r="P13" s="299">
        <f>+O13/L13</f>
        <v>0.14565827902761158</v>
      </c>
      <c r="R13" s="195"/>
      <c r="T13" s="196" t="s">
        <v>627</v>
      </c>
      <c r="U13" s="197" t="s">
        <v>628</v>
      </c>
      <c r="V13" s="198">
        <v>6301.4858299999996</v>
      </c>
      <c r="W13" s="196">
        <f t="shared" si="6"/>
        <v>6301.4858299999996</v>
      </c>
      <c r="X13" s="199" t="e">
        <f>+W13/#REF!</f>
        <v>#REF!</v>
      </c>
    </row>
    <row r="14" spans="1:24" s="194" customFormat="1" ht="77.25" customHeight="1">
      <c r="A14" s="306"/>
      <c r="B14" s="540"/>
      <c r="C14" s="540"/>
      <c r="D14" s="542"/>
      <c r="E14" s="541"/>
      <c r="F14" s="558"/>
      <c r="G14" s="558"/>
      <c r="H14" s="558"/>
      <c r="I14" s="542"/>
      <c r="J14" s="542"/>
      <c r="K14" s="190" t="s">
        <v>629</v>
      </c>
      <c r="L14" s="230">
        <f>+GETPIVOTDATA("APR, VIGENTE",'dinamica APR VIGENTE'!$A$3,"DESCRIPCION DEP GASTO","SUBDIRECCIÓN GENERAL DE PROSPECTIVA Y DESARROLLO NACIONAL - SGPDN","FORMULA 1","C-0301-1000-30")/1000000</f>
        <v>14803.171700000001</v>
      </c>
      <c r="M14" s="230">
        <f>+GETPIVOTDATA("COMPROMISO",'dinamica COMPR'!$A$3,"DESCRIPCION DEP GASTO","SUBDIRECCIÓN GENERAL DE PROSPECTIVA Y DESARROLLO NACIONAL - SGPDN","FORMULA 1","C-0301-1000-30")/1000000</f>
        <v>8724.850015</v>
      </c>
      <c r="N14" s="202">
        <f>+M14/L14</f>
        <v>0.58939058411380851</v>
      </c>
      <c r="O14" s="230">
        <f>+GETPIVOTDATA("OBLIGACION",'dinamica Oblig'!$A$3,"DESCRIPCION DEP GASTO","SUBDIRECCIÓN GENERAL DE PROSPECTIVA Y DESARROLLO NACIONAL - SGPDN","FORMULA 1","C-0301-1000-30")/1000000</f>
        <v>258.87295</v>
      </c>
      <c r="P14" s="299">
        <f>+O14/L14</f>
        <v>1.7487667862421671E-2</v>
      </c>
      <c r="R14" s="195"/>
      <c r="T14" s="196" t="s">
        <v>630</v>
      </c>
      <c r="U14" s="197" t="s">
        <v>583</v>
      </c>
      <c r="V14" s="198">
        <v>4149.815294</v>
      </c>
      <c r="W14" s="196">
        <f t="shared" si="6"/>
        <v>4149.815294</v>
      </c>
      <c r="X14" s="199" t="e">
        <f>+W14/#REF!</f>
        <v>#REF!</v>
      </c>
    </row>
    <row r="15" spans="1:24" s="194" customFormat="1" ht="45" customHeight="1">
      <c r="A15" s="306"/>
      <c r="B15" s="298"/>
      <c r="C15" s="551" t="s">
        <v>631</v>
      </c>
      <c r="D15" s="551"/>
      <c r="E15" s="551"/>
      <c r="F15" s="551"/>
      <c r="G15" s="551"/>
      <c r="H15" s="551"/>
      <c r="I15" s="551"/>
      <c r="J15" s="551"/>
      <c r="K15" s="551"/>
      <c r="L15" s="229">
        <f>SUM(L12:L14)</f>
        <v>15603.53</v>
      </c>
      <c r="M15" s="229">
        <f>SUM(M12:M14)</f>
        <v>9337.5884920000008</v>
      </c>
      <c r="N15" s="201">
        <f>+M15/L15</f>
        <v>0.598427951367415</v>
      </c>
      <c r="O15" s="229">
        <f>SUM(O12:O14)</f>
        <v>329.95608300000004</v>
      </c>
      <c r="P15" s="299">
        <f>+O15/L15</f>
        <v>2.1146245945628972E-2</v>
      </c>
      <c r="R15" s="195"/>
      <c r="T15" s="196" t="s">
        <v>582</v>
      </c>
      <c r="U15" s="197" t="s">
        <v>583</v>
      </c>
      <c r="V15" s="198">
        <v>3300.848414</v>
      </c>
      <c r="W15" s="196">
        <f t="shared" si="6"/>
        <v>3300.848414</v>
      </c>
      <c r="X15" s="199" t="e">
        <f>+W15/#REF!</f>
        <v>#REF!</v>
      </c>
    </row>
    <row r="16" spans="1:24" s="194" customFormat="1" ht="66" customHeight="1">
      <c r="A16" s="306"/>
      <c r="B16" s="540" t="str">
        <f>+'Ejecución Agregado'!C24</f>
        <v>C-0301-1000-33-53105F</v>
      </c>
      <c r="C16" s="540" t="str">
        <f>+'Ejecución Agregado'!P24</f>
        <v>5. CONVERGENCIA REGIONAL / F. EFICIENCIA INSTITUCIONAL PARA EL CUMPLIMIENTO DE LOS ACUERDOS REALIZADOS CON LAS COMUNIDADES</v>
      </c>
      <c r="D16" s="541" t="s">
        <v>632</v>
      </c>
      <c r="E16" s="541" t="s">
        <v>633</v>
      </c>
      <c r="F16" s="543" t="e">
        <f>+'x proyecto'!F21</f>
        <v>#REF!</v>
      </c>
      <c r="G16" s="543" t="e">
        <f>+'x proyecto'!G21</f>
        <v>#REF!</v>
      </c>
      <c r="H16" s="543" t="e">
        <f>+'x proyecto'!I21</f>
        <v>#REF!</v>
      </c>
      <c r="I16" s="542">
        <v>11</v>
      </c>
      <c r="J16" s="542" t="str">
        <f>+'x proyecto'!E21</f>
        <v xml:space="preserve">Nación  </v>
      </c>
      <c r="K16" s="190" t="s">
        <v>634</v>
      </c>
      <c r="L16" s="230">
        <f>+GETPIVOTDATA("APR, VIGENTE",'dinamica APR VIGENTE'!$A$3,"DESCRIPCION DEP GASTO","DIRECCIÓN DE AMBIENTE Y DESARROLLO SOSTENIBLE - DADS","FORMULA 1","C-0301-1000-33")/1000000</f>
        <v>4717.3346579999998</v>
      </c>
      <c r="M16" s="230">
        <f>+GETPIVOTDATA("COMPROMISO",'dinamica COMPR'!$A$3,"DESCRIPCION DEP GASTO","DIRECCIÓN DE AMBIENTE Y DESARROLLO SOSTENIBLE - DADS","FORMULA 1","C-0301-1000-33")/1000000</f>
        <v>4286.6484039999996</v>
      </c>
      <c r="N16" s="202">
        <f t="shared" ref="N16:N26" si="7">+M16/L16</f>
        <v>0.90870135675669927</v>
      </c>
      <c r="O16" s="230">
        <f>+GETPIVOTDATA("OBLIGACION",'dinamica Oblig'!$A$3,"DESCRIPCION DEP GASTO","DIRECCIÓN DE AMBIENTE Y DESARROLLO SOSTENIBLE - DADS","FORMULA 1","C-0301-1000-33")/1000000</f>
        <v>332.12418700000001</v>
      </c>
      <c r="P16" s="299">
        <f t="shared" ref="P16:P26" si="8">+O16/L16</f>
        <v>7.0405050961724669E-2</v>
      </c>
      <c r="R16" s="195"/>
      <c r="T16" s="535" t="s">
        <v>635</v>
      </c>
      <c r="U16" s="197" t="s">
        <v>636</v>
      </c>
      <c r="V16" s="198">
        <v>13580.685874000001</v>
      </c>
      <c r="W16" s="535">
        <f>+V16+V17</f>
        <v>19816.342477999999</v>
      </c>
      <c r="X16" s="536">
        <f>+W16/W23</f>
        <v>0.6110818538338425</v>
      </c>
    </row>
    <row r="17" spans="1:24" s="194" customFormat="1" ht="72.75" customHeight="1">
      <c r="A17" s="306"/>
      <c r="B17" s="540"/>
      <c r="C17" s="540"/>
      <c r="D17" s="542"/>
      <c r="E17" s="541"/>
      <c r="F17" s="543"/>
      <c r="G17" s="543"/>
      <c r="H17" s="543"/>
      <c r="I17" s="542"/>
      <c r="J17" s="542"/>
      <c r="K17" s="190" t="s">
        <v>637</v>
      </c>
      <c r="L17" s="230">
        <f>+GETPIVOTDATA("APR, VIGENTE",'dinamica APR VIGENTE'!$A$3,"DESCRIPCION DEP GASTO","DIRECCION DE DESARROLLO RURAL SOSTENIBLE - DDRS","FORMULA 1","C-0301-1000-33")/1000000</f>
        <v>2194</v>
      </c>
      <c r="M17" s="230">
        <f>+GETPIVOTDATA("COMPROMISO",'dinamica COMPR'!$A$3,"DESCRIPCION DEP GASTO","DIRECCION DE DESARROLLO RURAL SOSTENIBLE - DDRS","FORMULA 1","C-0301-1000-33")/1000000</f>
        <v>1840.5292690000001</v>
      </c>
      <c r="N17" s="202">
        <f t="shared" si="7"/>
        <v>0.83889210072926168</v>
      </c>
      <c r="O17" s="230">
        <f>+GETPIVOTDATA("OBLIGACION",'dinamica Oblig'!$A$3,"DESCRIPCION DEP GASTO","DIRECCION DE DESARROLLO RURAL SOSTENIBLE - DDRS","FORMULA 1","C-0301-1000-33")/1000000</f>
        <v>169.70280299999999</v>
      </c>
      <c r="P17" s="299">
        <f t="shared" si="8"/>
        <v>7.7348588422971737E-2</v>
      </c>
      <c r="R17" s="195"/>
      <c r="T17" s="535"/>
      <c r="U17" s="197" t="s">
        <v>583</v>
      </c>
      <c r="V17" s="198">
        <v>6235.6566039999998</v>
      </c>
      <c r="W17" s="535"/>
      <c r="X17" s="536"/>
    </row>
    <row r="18" spans="1:24" s="194" customFormat="1" ht="45" customHeight="1">
      <c r="A18" s="306"/>
      <c r="B18" s="540"/>
      <c r="C18" s="540"/>
      <c r="D18" s="542"/>
      <c r="E18" s="541"/>
      <c r="F18" s="543"/>
      <c r="G18" s="543"/>
      <c r="H18" s="543"/>
      <c r="I18" s="542"/>
      <c r="J18" s="542"/>
      <c r="K18" s="190" t="s">
        <v>638</v>
      </c>
      <c r="L18" s="230">
        <f>+GETPIVOTDATA("APR, VIGENTE",'dinamica APR VIGENTE'!$A$3,"DESCRIPCION DEP GASTO","DIRECCION DE DESARROLLO URBANO - DDU","FORMULA 1","C-0301-1000-33")/1000000</f>
        <v>4729.5586670000002</v>
      </c>
      <c r="M18" s="230">
        <f>+GETPIVOTDATA("COMPROMISO",'dinamica COMPR'!$A$3,"DESCRIPCION DEP GASTO","DIRECCION DE DESARROLLO URBANO - DDU","FORMULA 1","C-0301-1000-33")/1000000</f>
        <v>3281.2470109999999</v>
      </c>
      <c r="N18" s="202">
        <f t="shared" si="7"/>
        <v>0.69377446016148547</v>
      </c>
      <c r="O18" s="230">
        <f>+GETPIVOTDATA("OBLIGACION",'dinamica Oblig'!$A$3,"DESCRIPCION DEP GASTO","DIRECCION DE DESARROLLO URBANO - DDU","FORMULA 1","C-0301-1000-33")/1000000</f>
        <v>206.01301699999999</v>
      </c>
      <c r="P18" s="299">
        <f t="shared" si="8"/>
        <v>4.3558613288261806E-2</v>
      </c>
      <c r="R18" s="195"/>
      <c r="T18" s="196" t="s">
        <v>639</v>
      </c>
      <c r="U18" s="197" t="s">
        <v>636</v>
      </c>
      <c r="V18" s="198">
        <v>212.388634</v>
      </c>
      <c r="W18" s="196">
        <f>+V18</f>
        <v>212.388634</v>
      </c>
      <c r="X18" s="203">
        <f>+W18/W23</f>
        <v>6.5494851202761639E-3</v>
      </c>
    </row>
    <row r="19" spans="1:24" s="194" customFormat="1" ht="62.25" customHeight="1">
      <c r="A19" s="306"/>
      <c r="B19" s="540"/>
      <c r="C19" s="540"/>
      <c r="D19" s="542"/>
      <c r="E19" s="541"/>
      <c r="F19" s="543"/>
      <c r="G19" s="543"/>
      <c r="H19" s="543"/>
      <c r="I19" s="542"/>
      <c r="J19" s="542"/>
      <c r="K19" s="190" t="s">
        <v>640</v>
      </c>
      <c r="L19" s="230">
        <f>+GETPIVOTDATA("APR, VIGENTE",'dinamica APR VIGENTE'!$A$3,"DESCRIPCION DEP GASTO","DIRECCIÓN DE ECONOMÍA NARANJA Y DESARROLLO DIGITAL - DENDD","FORMULA 1","C-0301-1000-33")/1000000</f>
        <v>4344.8556120000003</v>
      </c>
      <c r="M19" s="230">
        <f>+GETPIVOTDATA("COMPROMISO",'dinamica COMPR'!$A$3,"DESCRIPCION DEP GASTO","DIRECCIÓN DE ECONOMÍA NARANJA Y DESARROLLO DIGITAL - DENDD","FORMULA 1","C-0301-1000-33")/1000000</f>
        <v>3207.3584129999999</v>
      </c>
      <c r="N19" s="202">
        <f t="shared" si="7"/>
        <v>0.73819677784956494</v>
      </c>
      <c r="O19" s="230">
        <f>+GETPIVOTDATA("OBLIGACION",'dinamica Oblig'!$A$3,"DESCRIPCION DEP GASTO","DIRECCIÓN DE ECONOMÍA NARANJA Y DESARROLLO DIGITAL - DENDD","FORMULA 1","C-0301-1000-33")/1000000</f>
        <v>267.44201800000002</v>
      </c>
      <c r="P19" s="299">
        <f t="shared" si="8"/>
        <v>6.1553718209036767E-2</v>
      </c>
      <c r="R19" s="195"/>
      <c r="T19" s="535" t="s">
        <v>641</v>
      </c>
      <c r="U19" s="197" t="s">
        <v>636</v>
      </c>
      <c r="V19" s="198">
        <v>271.70916799999998</v>
      </c>
      <c r="W19" s="535">
        <f>+V19+V20</f>
        <v>404.66733599999998</v>
      </c>
      <c r="X19" s="536">
        <f>+W19/W23</f>
        <v>1.2478834888093846E-2</v>
      </c>
    </row>
    <row r="20" spans="1:24" s="194" customFormat="1" ht="90" customHeight="1">
      <c r="A20" s="306"/>
      <c r="B20" s="540"/>
      <c r="C20" s="540"/>
      <c r="D20" s="542"/>
      <c r="E20" s="541"/>
      <c r="F20" s="543"/>
      <c r="G20" s="543"/>
      <c r="H20" s="543"/>
      <c r="I20" s="542"/>
      <c r="J20" s="542"/>
      <c r="K20" s="190" t="s">
        <v>642</v>
      </c>
      <c r="L20" s="230">
        <f>+GETPIVOTDATA("APR, VIGENTE",'dinamica APR VIGENTE'!$A$3,"DESCRIPCION DEP GASTO","DIRECCIÓN DE GOBIERNO, DDHH Y PAZ - DGDHP","FORMULA 1","C-0301-1000-33")/1000000</f>
        <v>16725.251120000001</v>
      </c>
      <c r="M20" s="230">
        <f>+GETPIVOTDATA("COMPROMISO",'dinamica COMPR'!$A$3,"DESCRIPCION DEP GASTO","DIRECCIÓN DE GOBIERNO, DDHH Y PAZ - DGDHP","FORMULA 1","C-0301-1000-33")/1000000</f>
        <v>8078.2076719999995</v>
      </c>
      <c r="N20" s="202">
        <f t="shared" si="7"/>
        <v>0.48299470148702911</v>
      </c>
      <c r="O20" s="230">
        <f>+GETPIVOTDATA("OBLIGACION",'dinamica Oblig'!$A$3,"DESCRIPCION DEP GASTO","DIRECCIÓN DE GOBIERNO, DDHH Y PAZ - DGDHP","FORMULA 1","C-0301-1000-33")/1000000</f>
        <v>615.419577</v>
      </c>
      <c r="P20" s="299">
        <f t="shared" si="8"/>
        <v>3.6795834788039938E-2</v>
      </c>
      <c r="R20" s="195"/>
      <c r="S20" s="195"/>
      <c r="T20" s="535"/>
      <c r="U20" s="197" t="s">
        <v>643</v>
      </c>
      <c r="V20" s="198">
        <v>132.958168</v>
      </c>
      <c r="W20" s="535"/>
      <c r="X20" s="536"/>
    </row>
    <row r="21" spans="1:24" s="194" customFormat="1" ht="78" customHeight="1">
      <c r="A21" s="306"/>
      <c r="B21" s="540"/>
      <c r="C21" s="540"/>
      <c r="D21" s="542"/>
      <c r="E21" s="541"/>
      <c r="F21" s="543"/>
      <c r="G21" s="543"/>
      <c r="H21" s="543"/>
      <c r="I21" s="542"/>
      <c r="J21" s="542"/>
      <c r="K21" s="190" t="s">
        <v>618</v>
      </c>
      <c r="L21" s="230">
        <f>+GETPIVOTDATA("APR, VIGENTE",'dinamica APR VIGENTE'!$A$3,"DESCRIPCION DEP GASTO","DIRECCION DE INFRAESTRUCTURA Y ENERGIA SOSTENIBLE - DIES","FORMULA 1","C-0301-1000-33")/1000000</f>
        <v>7282.8578010000001</v>
      </c>
      <c r="M21" s="230">
        <f>+GETPIVOTDATA("COMPROMISO",'dinamica COMPR'!$A$3,"DESCRIPCION DEP GASTO","DIRECCION DE INFRAESTRUCTURA Y ENERGIA SOSTENIBLE - DIES","FORMULA 1","C-0301-1000-33")/1000000</f>
        <v>2238.6635919999999</v>
      </c>
      <c r="N21" s="202">
        <f t="shared" si="7"/>
        <v>0.30738806841630378</v>
      </c>
      <c r="O21" s="230">
        <f>+GETPIVOTDATA("OBLIGACION",'dinamica Oblig'!$A$3,"DESCRIPCION DEP GASTO","DIRECCION DE INFRAESTRUCTURA Y ENERGIA SOSTENIBLE - DIES","FORMULA 1","C-0301-1000-33")/1000000</f>
        <v>145.500857</v>
      </c>
      <c r="P21" s="299">
        <f t="shared" si="8"/>
        <v>1.9978538779106939E-2</v>
      </c>
      <c r="R21" s="195"/>
      <c r="S21" s="195"/>
      <c r="T21" s="535" t="s">
        <v>644</v>
      </c>
      <c r="U21" s="197" t="s">
        <v>643</v>
      </c>
      <c r="V21" s="198">
        <v>9465.3893850000004</v>
      </c>
      <c r="W21" s="535">
        <f>+V21+V22</f>
        <v>11994.896311</v>
      </c>
      <c r="X21" s="536">
        <f>+W21/W23</f>
        <v>0.36988982615778748</v>
      </c>
    </row>
    <row r="22" spans="1:24" s="194" customFormat="1" ht="57" customHeight="1">
      <c r="A22" s="306"/>
      <c r="B22" s="540"/>
      <c r="C22" s="540"/>
      <c r="D22" s="542"/>
      <c r="E22" s="541"/>
      <c r="F22" s="543"/>
      <c r="G22" s="543"/>
      <c r="H22" s="543"/>
      <c r="I22" s="542"/>
      <c r="J22" s="542"/>
      <c r="K22" s="190" t="s">
        <v>645</v>
      </c>
      <c r="L22" s="230">
        <f>+GETPIVOTDATA("APR, VIGENTE",'dinamica APR VIGENTE'!$A$3,"DESCRIPCION DEP GASTO","DIRECCIÓN DE INNOVACIÓN Y DESARROLLO EMPRESARIAL - DIDE","FORMULA 1","C-0301-1000-33")/1000000</f>
        <v>4201.5200000000004</v>
      </c>
      <c r="M22" s="230">
        <f>+GETPIVOTDATA("COMPROMISO",'dinamica COMPR'!$A$3,"DESCRIPCION DEP GASTO","DIRECCIÓN DE INNOVACIÓN Y DESARROLLO EMPRESARIAL - DIDE","FORMULA 1","C-0301-1000-33")/1000000</f>
        <v>2523.1166760000001</v>
      </c>
      <c r="N22" s="202">
        <f t="shared" si="7"/>
        <v>0.60052473295378817</v>
      </c>
      <c r="O22" s="230">
        <f>+GETPIVOTDATA("OBLIGACION",'dinamica Oblig'!$A$3,"DESCRIPCION DEP GASTO","DIRECCIÓN DE INNOVACIÓN Y DESARROLLO EMPRESARIAL - DIDE","FORMULA 1","C-0301-1000-33")/1000000</f>
        <v>193.126655</v>
      </c>
      <c r="P22" s="299">
        <f t="shared" si="8"/>
        <v>4.5965901626078179E-2</v>
      </c>
      <c r="R22" s="195"/>
      <c r="S22" s="195"/>
      <c r="T22" s="535"/>
      <c r="U22" s="197" t="s">
        <v>583</v>
      </c>
      <c r="V22" s="198">
        <v>2529.506926</v>
      </c>
      <c r="W22" s="535"/>
      <c r="X22" s="536"/>
    </row>
    <row r="23" spans="1:24" s="194" customFormat="1" ht="54" customHeight="1" thickBot="1">
      <c r="A23" s="306"/>
      <c r="B23" s="540"/>
      <c r="C23" s="540"/>
      <c r="D23" s="542"/>
      <c r="E23" s="541"/>
      <c r="F23" s="543"/>
      <c r="G23" s="543"/>
      <c r="H23" s="543"/>
      <c r="I23" s="542"/>
      <c r="J23" s="542"/>
      <c r="K23" s="190" t="s">
        <v>646</v>
      </c>
      <c r="L23" s="230">
        <f>+GETPIVOTDATA("APR, VIGENTE",'dinamica APR VIGENTE'!$A$3,"DESCRIPCION DEP GASTO","DIRECCIÓN DE JUSTICIA, SEGURIDAD Y DEFENSA - DJSD","FORMULA 1","C-0301-1000-33")/1000000</f>
        <v>3412.208646</v>
      </c>
      <c r="M23" s="230">
        <f>+GETPIVOTDATA("COMPROMISO",'dinamica COMPR'!$A$3,"DESCRIPCION DEP GASTO","DIRECCIÓN DE JUSTICIA, SEGURIDAD Y DEFENSA - DJSD","FORMULA 1","C-0301-1000-33")/1000000</f>
        <v>2479.5754569999999</v>
      </c>
      <c r="N23" s="202">
        <f t="shared" si="7"/>
        <v>0.72667756114700377</v>
      </c>
      <c r="O23" s="230">
        <f>+GETPIVOTDATA("OBLIGACION",'dinamica Oblig'!$A$3,"DESCRIPCION DEP GASTO","DIRECCIÓN DE JUSTICIA, SEGURIDAD Y DEFENSA - DJSD","FORMULA 1","C-0301-1000-33")/1000000</f>
        <v>243.07168899999999</v>
      </c>
      <c r="P23" s="299">
        <f t="shared" si="8"/>
        <v>7.1235880984283753E-2</v>
      </c>
      <c r="R23" s="195"/>
      <c r="S23" s="195"/>
      <c r="T23" s="537" t="s">
        <v>647</v>
      </c>
      <c r="U23" s="538"/>
      <c r="V23" s="204">
        <f>SUM(V16:V22)</f>
        <v>32428.294759000004</v>
      </c>
      <c r="W23" s="205">
        <f>SUM(W16:W22)</f>
        <v>32428.294758999997</v>
      </c>
      <c r="X23" s="199"/>
    </row>
    <row r="24" spans="1:24" s="194" customFormat="1" ht="95.25" customHeight="1" thickTop="1">
      <c r="A24" s="306"/>
      <c r="B24" s="540"/>
      <c r="C24" s="540"/>
      <c r="D24" s="542"/>
      <c r="E24" s="541"/>
      <c r="F24" s="543"/>
      <c r="G24" s="543"/>
      <c r="H24" s="543"/>
      <c r="I24" s="542"/>
      <c r="J24" s="542"/>
      <c r="K24" s="190" t="s">
        <v>629</v>
      </c>
      <c r="L24" s="230">
        <f>+GETPIVOTDATA("APR, VIGENTE",'dinamica APR VIGENTE'!$A$3,"DESCRIPCION DEP GASTO","SUBDIRECCIÓN GENERAL DE PROSPECTIVA Y DESARROLLO NACIONAL - SGPDN","FORMULA 1","C-0301-1000-33")/1000000</f>
        <v>4019.9134960000001</v>
      </c>
      <c r="M24" s="230">
        <f>+GETPIVOTDATA("COMPROMISO",'dinamica COMPR'!$A$3,"DESCRIPCION DEP GASTO","SUBDIRECCIÓN GENERAL DE PROSPECTIVA Y DESARROLLO NACIONAL - SGPDN","FORMULA 1","C-0301-1000-33")/1000000</f>
        <v>2345.5898240000001</v>
      </c>
      <c r="N24" s="202">
        <f t="shared" si="7"/>
        <v>0.58349261155345022</v>
      </c>
      <c r="O24" s="230">
        <f>+GETPIVOTDATA("OBLIGACION",'dinamica Oblig'!$A$3,"DESCRIPCION DEP GASTO","SUBDIRECCIÓN GENERAL DE PROSPECTIVA Y DESARROLLO NACIONAL - SGPDN","FORMULA 1","C-0301-1000-33")/1000000</f>
        <v>294.19703099999998</v>
      </c>
      <c r="P24" s="299">
        <f t="shared" si="8"/>
        <v>7.3184915867652287E-2</v>
      </c>
      <c r="R24" s="195"/>
      <c r="S24" s="195"/>
    </row>
    <row r="25" spans="1:24" s="194" customFormat="1" ht="59.25" customHeight="1">
      <c r="A25" s="306"/>
      <c r="B25" s="200"/>
      <c r="C25" s="539" t="s">
        <v>648</v>
      </c>
      <c r="D25" s="539"/>
      <c r="E25" s="539"/>
      <c r="F25" s="539"/>
      <c r="G25" s="539"/>
      <c r="H25" s="539"/>
      <c r="I25" s="539"/>
      <c r="J25" s="539"/>
      <c r="K25" s="539"/>
      <c r="L25" s="231">
        <f>SUM(L16:L24)</f>
        <v>51627.500000000007</v>
      </c>
      <c r="M25" s="231">
        <f>SUM(M16:M24)</f>
        <v>30280.936318</v>
      </c>
      <c r="N25" s="206">
        <f t="shared" ref="N25" si="9">+M25/L25</f>
        <v>0.58652726391942267</v>
      </c>
      <c r="O25" s="231">
        <f>SUM(O16:O24)</f>
        <v>2466.5978340000001</v>
      </c>
      <c r="P25" s="299">
        <f t="shared" ref="P25" si="10">+O25/L25</f>
        <v>4.777682115151808E-2</v>
      </c>
      <c r="R25" s="195"/>
      <c r="S25" s="195"/>
    </row>
    <row r="26" spans="1:24" ht="58.5" customHeight="1">
      <c r="A26" s="273"/>
      <c r="B26" s="273"/>
      <c r="C26" s="544" t="s">
        <v>649</v>
      </c>
      <c r="D26" s="545"/>
      <c r="E26" s="545"/>
      <c r="F26" s="545"/>
      <c r="G26" s="545"/>
      <c r="H26" s="545"/>
      <c r="I26" s="545"/>
      <c r="J26" s="545"/>
      <c r="K26" s="546"/>
      <c r="L26" s="232">
        <f>+L7+L11+L15+L25</f>
        <v>89937.201505000005</v>
      </c>
      <c r="M26" s="232">
        <f>+M7+M11+M15+M25</f>
        <v>50668.111848</v>
      </c>
      <c r="N26" s="207">
        <f t="shared" si="7"/>
        <v>0.56337211965821665</v>
      </c>
      <c r="O26" s="232">
        <f>+O7+O11+O15+O25</f>
        <v>3251.3761200000004</v>
      </c>
      <c r="P26" s="299">
        <f t="shared" si="8"/>
        <v>3.6151626530421255E-2</v>
      </c>
      <c r="Q26" s="208"/>
      <c r="R26" s="195"/>
      <c r="S26" s="195"/>
      <c r="T26" s="195"/>
    </row>
    <row r="27" spans="1:24">
      <c r="L27" s="233"/>
      <c r="M27" s="233"/>
      <c r="O27" s="234"/>
      <c r="P27" s="406"/>
    </row>
    <row r="28" spans="1:24">
      <c r="O28" s="234"/>
      <c r="P28" s="209"/>
    </row>
    <row r="29" spans="1:24">
      <c r="O29" s="234"/>
      <c r="P29" s="209"/>
    </row>
    <row r="30" spans="1:24">
      <c r="P30" s="209"/>
    </row>
    <row r="31" spans="1:24">
      <c r="P31" s="209"/>
    </row>
    <row r="32" spans="1:24">
      <c r="P32" s="209"/>
    </row>
    <row r="33" spans="16:16">
      <c r="P33" s="209"/>
    </row>
    <row r="34" spans="16:16">
      <c r="P34" s="209"/>
    </row>
    <row r="35" spans="16:16" ht="14.4" thickBot="1">
      <c r="P35" s="210"/>
    </row>
    <row r="36" spans="16:16" ht="14.4" thickTop="1"/>
  </sheetData>
  <sortState ref="T6:V23">
    <sortCondition ref="T6"/>
  </sortState>
  <mergeCells count="43">
    <mergeCell ref="X7:X8"/>
    <mergeCell ref="W7:W8"/>
    <mergeCell ref="T7:T8"/>
    <mergeCell ref="C7:K7"/>
    <mergeCell ref="C11:K11"/>
    <mergeCell ref="B8:B10"/>
    <mergeCell ref="F12:F14"/>
    <mergeCell ref="G12:G14"/>
    <mergeCell ref="H12:H14"/>
    <mergeCell ref="B12:B14"/>
    <mergeCell ref="C12:C14"/>
    <mergeCell ref="D12:D14"/>
    <mergeCell ref="E12:E14"/>
    <mergeCell ref="C26:K26"/>
    <mergeCell ref="I5:J5"/>
    <mergeCell ref="I12:I14"/>
    <mergeCell ref="J12:J14"/>
    <mergeCell ref="I8:I10"/>
    <mergeCell ref="J8:J10"/>
    <mergeCell ref="G16:G24"/>
    <mergeCell ref="H16:H24"/>
    <mergeCell ref="I16:I24"/>
    <mergeCell ref="J16:J24"/>
    <mergeCell ref="C15:K15"/>
    <mergeCell ref="E8:E10"/>
    <mergeCell ref="D8:D10"/>
    <mergeCell ref="C8:C10"/>
    <mergeCell ref="B16:B24"/>
    <mergeCell ref="C16:C24"/>
    <mergeCell ref="D16:D24"/>
    <mergeCell ref="E16:E24"/>
    <mergeCell ref="F16:F24"/>
    <mergeCell ref="T16:T17"/>
    <mergeCell ref="W16:W17"/>
    <mergeCell ref="X16:X17"/>
    <mergeCell ref="T19:T20"/>
    <mergeCell ref="W19:W20"/>
    <mergeCell ref="X19:X20"/>
    <mergeCell ref="T21:T22"/>
    <mergeCell ref="W21:W22"/>
    <mergeCell ref="X21:X22"/>
    <mergeCell ref="T23:U23"/>
    <mergeCell ref="C25:K2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zoomScale="80" zoomScaleNormal="80" workbookViewId="0">
      <selection activeCell="J19" sqref="J19"/>
    </sheetView>
  </sheetViews>
  <sheetFormatPr baseColWidth="10" defaultColWidth="11.44140625" defaultRowHeight="12.6"/>
  <cols>
    <col min="1" max="1" width="18.44140625" style="93" customWidth="1"/>
    <col min="2" max="2" width="34.33203125" style="93" customWidth="1"/>
    <col min="3" max="3" width="17.109375" style="93" customWidth="1"/>
    <col min="4" max="4" width="14.109375" style="93" customWidth="1"/>
    <col min="5" max="6" width="11.44140625" style="93" hidden="1" customWidth="1"/>
    <col min="7" max="7" width="5.109375" style="93" customWidth="1"/>
    <col min="8" max="8" width="6.5546875" style="93" customWidth="1"/>
    <col min="9" max="9" width="19" style="93" customWidth="1"/>
    <col min="10" max="10" width="21.109375" style="93" customWidth="1"/>
    <col min="11" max="11" width="17.88671875" style="93" bestFit="1" customWidth="1"/>
    <col min="12" max="12" width="10.44140625" style="94" customWidth="1"/>
    <col min="13" max="13" width="13.44140625" style="93" bestFit="1" customWidth="1"/>
    <col min="14" max="14" width="10.88671875" style="93" customWidth="1"/>
    <col min="15" max="16" width="11.44140625" style="93"/>
    <col min="17" max="17" width="27.5546875" style="93" hidden="1" customWidth="1"/>
    <col min="18" max="18" width="145.109375" style="93" hidden="1" customWidth="1"/>
    <col min="19" max="19" width="22.33203125" style="93" hidden="1" customWidth="1"/>
    <col min="20" max="20" width="20.5546875" style="93" hidden="1" customWidth="1"/>
    <col min="21" max="21" width="14.44140625" style="93" hidden="1" customWidth="1"/>
    <col min="22" max="16384" width="11.44140625" style="93"/>
  </cols>
  <sheetData>
    <row r="1" spans="1:23" ht="16.2">
      <c r="O1" s="179" t="s">
        <v>531</v>
      </c>
      <c r="P1" s="179" t="s">
        <v>532</v>
      </c>
      <c r="Q1" s="91" t="s">
        <v>531</v>
      </c>
      <c r="R1" s="91" t="s">
        <v>532</v>
      </c>
    </row>
    <row r="2" spans="1:23" ht="16.2">
      <c r="B2" s="95" t="s">
        <v>650</v>
      </c>
      <c r="O2" s="180" t="s">
        <v>533</v>
      </c>
      <c r="P2" s="180" t="s">
        <v>534</v>
      </c>
      <c r="Q2" s="92" t="s">
        <v>533</v>
      </c>
      <c r="R2" s="92" t="s">
        <v>534</v>
      </c>
    </row>
    <row r="3" spans="1:23" ht="16.2">
      <c r="O3" s="181" t="s">
        <v>536</v>
      </c>
      <c r="P3" s="181" t="s">
        <v>537</v>
      </c>
      <c r="Q3" s="92" t="s">
        <v>536</v>
      </c>
      <c r="R3" s="92" t="s">
        <v>537</v>
      </c>
    </row>
    <row r="4" spans="1:23" ht="25.8" thickBot="1">
      <c r="A4" s="116"/>
      <c r="B4" s="143" t="s">
        <v>535</v>
      </c>
      <c r="C4" s="144" t="str">
        <f>+SGDDT!E3</f>
        <v>Fecha: corte 13 de marzo 2024</v>
      </c>
      <c r="K4" s="143"/>
      <c r="L4" s="144"/>
      <c r="Q4" s="92"/>
      <c r="R4" s="92"/>
    </row>
    <row r="5" spans="1:23" ht="50.25" customHeight="1" thickTop="1" thickBot="1">
      <c r="A5" s="134" t="s">
        <v>512</v>
      </c>
      <c r="B5" s="215" t="s">
        <v>513</v>
      </c>
      <c r="C5" s="215" t="s">
        <v>573</v>
      </c>
      <c r="D5" s="215" t="s">
        <v>540</v>
      </c>
      <c r="E5" s="215" t="s">
        <v>541</v>
      </c>
      <c r="F5" s="215" t="s">
        <v>29</v>
      </c>
      <c r="G5" s="569" t="s">
        <v>514</v>
      </c>
      <c r="H5" s="570"/>
      <c r="I5" s="215" t="s">
        <v>538</v>
      </c>
      <c r="J5" s="215" t="s">
        <v>543</v>
      </c>
      <c r="K5" s="216" t="s">
        <v>544</v>
      </c>
      <c r="L5" s="216" t="s">
        <v>545</v>
      </c>
      <c r="M5" s="216" t="s">
        <v>546</v>
      </c>
      <c r="N5" s="161" t="s">
        <v>547</v>
      </c>
      <c r="Q5" s="132" t="s">
        <v>548</v>
      </c>
      <c r="R5" s="133" t="s">
        <v>549</v>
      </c>
      <c r="S5" s="134" t="s">
        <v>550</v>
      </c>
      <c r="T5" s="132" t="s">
        <v>551</v>
      </c>
      <c r="U5" s="132" t="s">
        <v>574</v>
      </c>
    </row>
    <row r="6" spans="1:23" s="151" customFormat="1" ht="93.75" customHeight="1" thickTop="1">
      <c r="A6" s="297" t="str">
        <f>+'Ejecución Agregado'!C31</f>
        <v>C-0399-1000-8-53105B</v>
      </c>
      <c r="B6" s="281" t="str">
        <f>+'Ejecución Agregado'!P31</f>
        <v>5. CONVERGENCIA REGIONAL / B. ENTIDADES PÚBLICAS TERRITORIALES Y NACIONALES FORTALECIDAS</v>
      </c>
      <c r="C6" s="424" t="s">
        <v>651</v>
      </c>
      <c r="D6" s="124" t="s">
        <v>652</v>
      </c>
      <c r="E6" s="126">
        <f>+'x proyecto'!F12</f>
        <v>4348</v>
      </c>
      <c r="F6" s="126">
        <f>+'x proyecto'!G12</f>
        <v>1885.6953410000001</v>
      </c>
      <c r="G6" s="126">
        <v>11</v>
      </c>
      <c r="H6" s="280" t="str">
        <f>+'x proyecto'!E12</f>
        <v xml:space="preserve"> Nación  </v>
      </c>
      <c r="I6" s="124" t="s">
        <v>653</v>
      </c>
      <c r="J6" s="237">
        <f>+GETPIVOTDATA("APR, VIGENTE",'dinamica APR VIGENTE'!$A$3,"DESCRIPCION DEP GASTO","OFICINA DE TECNOLOGÍAS Y SISTEMAS DE INFORMACIÓN - OTSI","FORMULA 1","C-0399-1000-8-")/1000000</f>
        <v>53000</v>
      </c>
      <c r="K6" s="237">
        <f>+GETPIVOTDATA("COMPROMISO",'dinamica COMPR'!$A$3,"DESCRIPCION DEP GASTO","OFICINA DE TECNOLOGÍAS Y SISTEMAS DE INFORMACIÓN - OTSI","FORMULA 1","C-0399-1000-8-")/1000000</f>
        <v>6181.5720082799999</v>
      </c>
      <c r="L6" s="125">
        <f t="shared" ref="L6:L13" si="0">+K6/J6</f>
        <v>0.11663343411849056</v>
      </c>
      <c r="M6" s="237">
        <f>+GETPIVOTDATA("OBLIGACION",'dinamica Oblig'!$A$3,"DESCRIPCION DEP GASTO","OFICINA DE TECNOLOGÍAS Y SISTEMAS DE INFORMACIÓN - OTSI","FORMULA 1","C-0399-1000-8-")/1000000</f>
        <v>613.76586799999995</v>
      </c>
      <c r="N6" s="408">
        <f t="shared" ref="N6:N13" si="1">+M6/J6</f>
        <v>1.1580488075471696E-2</v>
      </c>
      <c r="P6" s="152"/>
      <c r="Q6" s="138"/>
      <c r="R6" s="138"/>
      <c r="S6" s="152"/>
      <c r="U6" s="153"/>
    </row>
    <row r="7" spans="1:23" s="120" customFormat="1" ht="33" customHeight="1">
      <c r="A7" s="154"/>
      <c r="B7" s="562" t="s">
        <v>654</v>
      </c>
      <c r="C7" s="562"/>
      <c r="D7" s="562"/>
      <c r="E7" s="562"/>
      <c r="F7" s="562"/>
      <c r="G7" s="562"/>
      <c r="H7" s="562"/>
      <c r="I7" s="562"/>
      <c r="J7" s="238">
        <f>+J6</f>
        <v>53000</v>
      </c>
      <c r="K7" s="238">
        <f>+K6</f>
        <v>6181.5720082799999</v>
      </c>
      <c r="L7" s="213">
        <f t="shared" si="0"/>
        <v>0.11663343411849056</v>
      </c>
      <c r="M7" s="243">
        <f>+M6</f>
        <v>613.76586799999995</v>
      </c>
      <c r="N7" s="407">
        <f t="shared" si="1"/>
        <v>1.1580488075471696E-2</v>
      </c>
      <c r="P7" s="138"/>
      <c r="Q7" s="138"/>
      <c r="R7" s="138"/>
      <c r="S7" s="152"/>
    </row>
    <row r="8" spans="1:23" s="151" customFormat="1" ht="39" customHeight="1">
      <c r="A8" s="559" t="str">
        <f>+'Ejecución Agregado'!C26</f>
        <v>C-0301-1000-35-53105F</v>
      </c>
      <c r="B8" s="527" t="str">
        <f>+'Ejecución Agregado'!P26</f>
        <v>5. CONVERGENCIA REGIONAL / F. EFICIENCIA INSTITUCIONAL PARA EL CUMPLIMIENTO DE LOS ACUERDOS REALIZADOS CON LAS COMUNIDADES</v>
      </c>
      <c r="C8" s="574" t="s">
        <v>655</v>
      </c>
      <c r="D8" s="577" t="s">
        <v>656</v>
      </c>
      <c r="E8" s="398">
        <f>+'x proyecto'!F20</f>
        <v>10700</v>
      </c>
      <c r="F8" s="398">
        <f>+'x proyecto'!G20</f>
        <v>4853.2958859999999</v>
      </c>
      <c r="G8" s="580">
        <v>11</v>
      </c>
      <c r="H8" s="580" t="s">
        <v>38</v>
      </c>
      <c r="I8" s="124" t="s">
        <v>657</v>
      </c>
      <c r="J8" s="235">
        <f>+GETPIVOTDATA("APR, VIGENTE",'dinamica APR VIGENTE'!$A$3,"DESCRIPCION DEP GASTO","DIRECCION GENERAL - DG","FORMULA 1","C-0301-1000-35")/1000000</f>
        <v>200</v>
      </c>
      <c r="K8" s="235">
        <f>+GETPIVOTDATA("COMPROMISO",'dinamica COMPR'!$A$3,"DESCRIPCION DEP GASTO","DIRECCION GENERAL - DG","FORMULA 1","C-0301-1000-35")/1000000</f>
        <v>0</v>
      </c>
      <c r="L8" s="135">
        <f t="shared" si="0"/>
        <v>0</v>
      </c>
      <c r="M8" s="235">
        <f>+GETPIVOTDATA("OBLIGACION",'dinamica Oblig'!$A$3,"DESCRIPCION DEP GASTO","DIRECCION GENERAL - DG","FORMULA 1","C-0301-1000-35")/1000000</f>
        <v>0</v>
      </c>
      <c r="N8" s="212">
        <f t="shared" si="1"/>
        <v>0</v>
      </c>
      <c r="P8" s="152"/>
      <c r="Q8" s="151" t="s">
        <v>658</v>
      </c>
      <c r="R8" s="136" t="s">
        <v>659</v>
      </c>
      <c r="S8" s="152">
        <v>2281.7550000000001</v>
      </c>
      <c r="T8" s="152">
        <f>+S8</f>
        <v>2281.7550000000001</v>
      </c>
      <c r="U8" s="153">
        <f>+T8/$T$12</f>
        <v>7.990026369041317E-2</v>
      </c>
    </row>
    <row r="9" spans="1:23" s="151" customFormat="1" ht="33" customHeight="1">
      <c r="A9" s="559"/>
      <c r="B9" s="528"/>
      <c r="C9" s="575"/>
      <c r="D9" s="578"/>
      <c r="E9" s="399"/>
      <c r="F9" s="399"/>
      <c r="G9" s="581"/>
      <c r="H9" s="581"/>
      <c r="I9" s="281" t="s">
        <v>660</v>
      </c>
      <c r="J9" s="235">
        <f>+GETPIVOTDATA("APR, VIGENTE",'dinamica APR VIGENTE'!$A$3,"DESCRIPCION DEP GASTO","GRUPO CONPES - GCON","FORMULA 1","C-0301-1000-35")/1000000</f>
        <v>3724.3809999999999</v>
      </c>
      <c r="K9" s="235">
        <f>+GETPIVOTDATA("COMPROMISO",'dinamica COMPR'!$A$3,"DESCRIPCION DEP GASTO","GRUPO CONPES - GCON","FORMULA 1","C-0301-1000-35")/1000000</f>
        <v>1671.563208</v>
      </c>
      <c r="L9" s="135">
        <f t="shared" si="0"/>
        <v>0.44881638264184037</v>
      </c>
      <c r="M9" s="235">
        <f>+GETPIVOTDATA("OBLIGACION",'dinamica Oblig'!$A$3,"DESCRIPCION DEP GASTO","GRUPO CONPES - GCON","FORMULA 1","C-0301-1000-35")/1000000</f>
        <v>190.22370000000001</v>
      </c>
      <c r="N9" s="212">
        <f t="shared" si="1"/>
        <v>5.1075252505047151E-2</v>
      </c>
      <c r="P9" s="152"/>
      <c r="Q9" s="565" t="s">
        <v>651</v>
      </c>
      <c r="R9" s="136" t="s">
        <v>659</v>
      </c>
      <c r="S9" s="152">
        <v>897.01350000000002</v>
      </c>
      <c r="T9" s="561">
        <f>+S9+S11</f>
        <v>26275.785296000002</v>
      </c>
      <c r="U9" s="560">
        <f>+T9/T12</f>
        <v>0.92009973630958675</v>
      </c>
    </row>
    <row r="10" spans="1:23" s="151" customFormat="1" ht="55.5" customHeight="1">
      <c r="A10" s="559"/>
      <c r="B10" s="528"/>
      <c r="C10" s="575"/>
      <c r="D10" s="578"/>
      <c r="E10" s="400"/>
      <c r="F10" s="400"/>
      <c r="G10" s="581"/>
      <c r="H10" s="581"/>
      <c r="I10" s="124" t="s">
        <v>661</v>
      </c>
      <c r="J10" s="235">
        <f>+GETPIVOTDATA("APR, VIGENTE",'dinamica APR VIGENTE'!$A$3,"DESCRIPCION DEP GASTO","DIRECCION DE DESARROLLO SOCIAL - DDS","FORMULA 1","C-0301-1000-35")/1000000</f>
        <v>223.619</v>
      </c>
      <c r="K10" s="235">
        <f>+GETPIVOTDATA("COMPROMISO",'dinamica COMPR'!$A$3,"DESCRIPCION DEP GASTO","DIRECCION DE DESARROLLO SOCIAL - DDS","FORMULA 1","C-0301-1000-35")/1000000</f>
        <v>214.13213300000001</v>
      </c>
      <c r="L10" s="135">
        <f t="shared" ref="L10" si="2">+K10/J10</f>
        <v>0.95757575608512702</v>
      </c>
      <c r="M10" s="235">
        <f>+GETPIVOTDATA("OBLIGACION",'dinamica Oblig'!$A$3,"DESCRIPCION DEP GASTO","DIRECCION DE DESARROLLO SOCIAL - DDS","FORMULA 1","C-0301-1000-35")/1000000</f>
        <v>0</v>
      </c>
      <c r="N10" s="212">
        <f t="shared" ref="N10" si="3">+M10/J10</f>
        <v>0</v>
      </c>
      <c r="P10" s="152"/>
      <c r="Q10" s="565"/>
      <c r="R10" s="136" t="s">
        <v>662</v>
      </c>
      <c r="S10" s="152">
        <v>25378.771796000001</v>
      </c>
      <c r="T10" s="561"/>
      <c r="U10" s="560"/>
    </row>
    <row r="11" spans="1:23" s="151" customFormat="1" ht="66" customHeight="1">
      <c r="A11" s="559"/>
      <c r="B11" s="529"/>
      <c r="C11" s="576"/>
      <c r="D11" s="579"/>
      <c r="E11" s="400"/>
      <c r="F11" s="400"/>
      <c r="G11" s="582"/>
      <c r="H11" s="582"/>
      <c r="I11" s="124" t="s">
        <v>663</v>
      </c>
      <c r="J11" s="235">
        <f>+GETPIVOTDATA("APR, VIGENTE",'dinamica APR VIGENTE'!$A$3,"DESCRIPCION DEP GASTO","DIRECCIÓN DE JUSTICIA, SEGURIDAD Y DEFENSA - DJSD","FORMULA 1","C-0301-1000-35")/1000000</f>
        <v>200</v>
      </c>
      <c r="K11" s="235">
        <f>+GETPIVOTDATA("COMPROMISO",'dinamica COMPR'!$A$3,"DESCRIPCION DEP GASTO","DIRECCIÓN DE JUSTICIA, SEGURIDAD Y DEFENSA - DJSD","FORMULA 1","C-0301-1000-35")</f>
        <v>0</v>
      </c>
      <c r="L11" s="135">
        <f t="shared" si="0"/>
        <v>0</v>
      </c>
      <c r="M11" s="235">
        <f>+GETPIVOTDATA("OBLIGACION",'dinamica Oblig'!$A$3,"DESCRIPCION DEP GASTO","DIRECCIÓN DE JUSTICIA, SEGURIDAD Y DEFENSA - DJSD","FORMULA 1","C-0301-1000-35")</f>
        <v>0</v>
      </c>
      <c r="N11" s="212">
        <f t="shared" si="1"/>
        <v>0</v>
      </c>
      <c r="P11" s="152"/>
      <c r="Q11" s="565"/>
      <c r="R11" s="136" t="s">
        <v>662</v>
      </c>
      <c r="S11" s="152">
        <v>25378.771796000001</v>
      </c>
      <c r="T11" s="561"/>
      <c r="U11" s="560"/>
    </row>
    <row r="12" spans="1:23" s="120" customFormat="1" ht="45" customHeight="1" thickBot="1">
      <c r="B12" s="566" t="s">
        <v>664</v>
      </c>
      <c r="C12" s="567"/>
      <c r="D12" s="567"/>
      <c r="E12" s="567"/>
      <c r="F12" s="567"/>
      <c r="G12" s="567"/>
      <c r="H12" s="567"/>
      <c r="I12" s="568"/>
      <c r="J12" s="236">
        <f>SUM(J8:J11)</f>
        <v>4348</v>
      </c>
      <c r="K12" s="236">
        <f>SUM(K8:K11)</f>
        <v>1885.6953410000001</v>
      </c>
      <c r="L12" s="214">
        <f t="shared" si="0"/>
        <v>0.43369258072677097</v>
      </c>
      <c r="M12" s="242">
        <f>SUM(M8:M11)</f>
        <v>190.22370000000001</v>
      </c>
      <c r="N12" s="212">
        <f t="shared" si="1"/>
        <v>4.3749701011959526E-2</v>
      </c>
      <c r="P12" s="138"/>
      <c r="Q12" s="563" t="s">
        <v>665</v>
      </c>
      <c r="R12" s="564"/>
      <c r="S12" s="137">
        <f>SUM(S8:S11)</f>
        <v>53936.312092</v>
      </c>
      <c r="T12" s="137">
        <f>SUM(T8:T11)</f>
        <v>28557.540296000003</v>
      </c>
      <c r="U12" s="140"/>
      <c r="W12" s="138"/>
    </row>
    <row r="13" spans="1:23" ht="29.25" customHeight="1" thickTop="1">
      <c r="A13" s="274"/>
      <c r="B13" s="571" t="s">
        <v>666</v>
      </c>
      <c r="C13" s="572"/>
      <c r="D13" s="572"/>
      <c r="E13" s="572"/>
      <c r="F13" s="572"/>
      <c r="G13" s="572"/>
      <c r="H13" s="572"/>
      <c r="I13" s="573"/>
      <c r="J13" s="239">
        <f>+J7+J12</f>
        <v>57348</v>
      </c>
      <c r="K13" s="239">
        <f>+K7+K12</f>
        <v>8067.2673492800004</v>
      </c>
      <c r="L13" s="155">
        <f t="shared" si="0"/>
        <v>0.14067216553811818</v>
      </c>
      <c r="M13" s="239">
        <f>+M7+M12</f>
        <v>803.98956799999996</v>
      </c>
      <c r="N13" s="212">
        <f t="shared" si="1"/>
        <v>1.4019487479946989E-2</v>
      </c>
      <c r="O13" s="151"/>
      <c r="P13" s="152"/>
      <c r="Q13" s="152"/>
      <c r="R13" s="152"/>
      <c r="S13" s="152"/>
    </row>
    <row r="14" spans="1:23">
      <c r="J14" s="240"/>
      <c r="K14" s="240"/>
      <c r="M14" s="240"/>
      <c r="N14" s="141"/>
    </row>
    <row r="15" spans="1:23">
      <c r="J15" s="241"/>
      <c r="K15" s="241"/>
      <c r="L15" s="142"/>
      <c r="M15" s="241"/>
      <c r="N15" s="141"/>
    </row>
    <row r="16" spans="1:23">
      <c r="J16" s="240"/>
      <c r="K16" s="240"/>
      <c r="M16" s="240"/>
    </row>
    <row r="17" spans="10:13">
      <c r="J17" s="240"/>
      <c r="K17" s="240"/>
      <c r="M17" s="240"/>
    </row>
  </sheetData>
  <sortState ref="Q6:S15">
    <sortCondition ref="Q6"/>
  </sortState>
  <mergeCells count="14">
    <mergeCell ref="G5:H5"/>
    <mergeCell ref="B13:I13"/>
    <mergeCell ref="B8:B11"/>
    <mergeCell ref="C8:C11"/>
    <mergeCell ref="D8:D11"/>
    <mergeCell ref="G8:G11"/>
    <mergeCell ref="H8:H11"/>
    <mergeCell ref="A8:A11"/>
    <mergeCell ref="U9:U11"/>
    <mergeCell ref="T9:T11"/>
    <mergeCell ref="B7:I7"/>
    <mergeCell ref="Q12:R12"/>
    <mergeCell ref="Q9:Q11"/>
    <mergeCell ref="B12:I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opLeftCell="A5" zoomScale="90" zoomScaleNormal="90" workbookViewId="0">
      <selection activeCell="C5" sqref="C5:P17"/>
    </sheetView>
  </sheetViews>
  <sheetFormatPr baseColWidth="10" defaultColWidth="11.44140625" defaultRowHeight="12.6"/>
  <cols>
    <col min="1" max="1" width="14.5546875" style="93" customWidth="1"/>
    <col min="2" max="2" width="33.44140625" style="93" customWidth="1"/>
    <col min="3" max="3" width="28.88671875" style="93" customWidth="1"/>
    <col min="4" max="4" width="17.33203125" style="93" customWidth="1"/>
    <col min="5" max="5" width="12.44140625" style="93" customWidth="1"/>
    <col min="6" max="8" width="11.44140625" style="93" hidden="1" customWidth="1"/>
    <col min="9" max="10" width="8.109375" style="93" customWidth="1"/>
    <col min="11" max="11" width="20.44140625" style="93" customWidth="1"/>
    <col min="12" max="12" width="23.33203125" style="93" customWidth="1"/>
    <col min="13" max="13" width="14.33203125" style="93" customWidth="1"/>
    <col min="14" max="14" width="7.44140625" style="94" customWidth="1"/>
    <col min="15" max="15" width="13" style="93" customWidth="1"/>
    <col min="16" max="16" width="8.5546875" style="93" customWidth="1"/>
    <col min="17" max="17" width="11.44140625" style="93"/>
    <col min="18" max="18" width="24.44140625" style="93" customWidth="1"/>
    <col min="19" max="19" width="14.88671875" style="93" customWidth="1"/>
    <col min="20" max="20" width="21" style="93" hidden="1" customWidth="1"/>
    <col min="21" max="21" width="23.6640625" style="93" customWidth="1"/>
    <col min="22" max="22" width="11.5546875" style="93" bestFit="1" customWidth="1"/>
    <col min="23" max="16384" width="11.44140625" style="93"/>
  </cols>
  <sheetData>
    <row r="1" spans="1:25">
      <c r="R1" s="91" t="s">
        <v>531</v>
      </c>
      <c r="S1" s="276" t="s">
        <v>532</v>
      </c>
    </row>
    <row r="2" spans="1:25" ht="35.25" customHeight="1">
      <c r="A2" s="95" t="s">
        <v>667</v>
      </c>
      <c r="C2" s="95" t="s">
        <v>667</v>
      </c>
      <c r="R2" s="279" t="s">
        <v>533</v>
      </c>
      <c r="S2" s="277" t="s">
        <v>534</v>
      </c>
    </row>
    <row r="3" spans="1:25" ht="13.2" thickBot="1">
      <c r="R3" s="92" t="s">
        <v>536</v>
      </c>
      <c r="S3" s="278" t="s">
        <v>537</v>
      </c>
    </row>
    <row r="4" spans="1:25" ht="25.8" thickTop="1">
      <c r="A4" s="96"/>
      <c r="B4" s="97"/>
      <c r="C4" s="143" t="s">
        <v>535</v>
      </c>
      <c r="D4" s="144" t="str">
        <f>+SGDDT!E3</f>
        <v>Fecha: corte 13 de marzo 2024</v>
      </c>
      <c r="E4" s="97"/>
      <c r="F4" s="97"/>
      <c r="G4" s="97"/>
      <c r="H4" s="97"/>
      <c r="I4" s="97"/>
      <c r="J4" s="97"/>
      <c r="K4" s="97"/>
      <c r="L4" s="97"/>
      <c r="M4" s="97"/>
      <c r="N4" s="99"/>
      <c r="O4" s="97"/>
      <c r="P4" s="98"/>
      <c r="R4" s="92"/>
      <c r="S4" s="92"/>
    </row>
    <row r="5" spans="1:25" ht="53.25" customHeight="1">
      <c r="A5" s="149" t="s">
        <v>511</v>
      </c>
      <c r="B5" s="160" t="s">
        <v>512</v>
      </c>
      <c r="C5" s="216" t="s">
        <v>513</v>
      </c>
      <c r="D5" s="216" t="s">
        <v>573</v>
      </c>
      <c r="E5" s="216" t="s">
        <v>540</v>
      </c>
      <c r="F5" s="216" t="s">
        <v>541</v>
      </c>
      <c r="G5" s="216" t="s">
        <v>29</v>
      </c>
      <c r="H5" s="216" t="s">
        <v>542</v>
      </c>
      <c r="I5" s="583" t="s">
        <v>514</v>
      </c>
      <c r="J5" s="583"/>
      <c r="K5" s="216" t="s">
        <v>538</v>
      </c>
      <c r="L5" s="216" t="s">
        <v>543</v>
      </c>
      <c r="M5" s="216" t="s">
        <v>544</v>
      </c>
      <c r="N5" s="216" t="s">
        <v>545</v>
      </c>
      <c r="O5" s="216" t="s">
        <v>546</v>
      </c>
      <c r="P5" s="161" t="s">
        <v>547</v>
      </c>
    </row>
    <row r="6" spans="1:25" s="151" customFormat="1" ht="99" customHeight="1">
      <c r="A6" s="149"/>
      <c r="B6" s="157" t="str">
        <f>+'Ejecución Agregado'!C30</f>
        <v>C-0399-1000-7-53105B</v>
      </c>
      <c r="C6" s="388" t="str">
        <f>+'Ejecución Agregado'!P30</f>
        <v>5. CONVERGENCIA REGIONAL / B. ENTIDADES PÚBLICAS TERRITORIALES Y NACIONALES FORTALECIDAS</v>
      </c>
      <c r="D6" s="384" t="s">
        <v>668</v>
      </c>
      <c r="E6" s="384" t="s">
        <v>669</v>
      </c>
      <c r="F6" s="389">
        <f>+'x proyecto'!F4</f>
        <v>8000</v>
      </c>
      <c r="G6" s="389">
        <f>+'x proyecto'!G4</f>
        <v>0</v>
      </c>
      <c r="H6" s="389">
        <f>+'x proyecto'!I4</f>
        <v>0</v>
      </c>
      <c r="I6" s="390">
        <v>11</v>
      </c>
      <c r="J6" s="384" t="str">
        <f>+'Ejecución Agregado'!M7</f>
        <v>Nación</v>
      </c>
      <c r="K6" s="384" t="s">
        <v>670</v>
      </c>
      <c r="L6" s="391">
        <f>+GETPIVOTDATA("APR, VIGENTE",'dinamica APR VIGENTE'!$A$3,"DESCRIPCION DEP GASTO","SUBDIRECCIÓN ADMINISTRATIVA Y RELACIONAMIENTO CON LA CIUDADANÍA-SARC","FORMULA 1","C-0399-1000-7-")/1000000</f>
        <v>13511</v>
      </c>
      <c r="M6" s="391">
        <f>+GETPIVOTDATA("COMPROMISO",'dinamica COMPR'!$A$3,"DESCRIPCION DEP GASTO","SUBDIRECCIÓN ADMINISTRATIVA Y RELACIONAMIENTO CON LA CIUDADANÍA-SARC","FORMULA 1","C-0399-1000-7-")/1000000</f>
        <v>261.68695000000002</v>
      </c>
      <c r="N6" s="392">
        <f t="shared" ref="N6:N7" si="0">+M6/L6</f>
        <v>1.9368436829250241E-2</v>
      </c>
      <c r="O6" s="391">
        <f>+GETPIVOTDATA("OBLIGACION",'dinamica Oblig'!$A$3,"DESCRIPCION DEP GASTO","SUBDIRECCIÓN ADMINISTRATIVA Y RELACIONAMIENTO CON LA CIUDADANÍA-SARC","FORMULA 1","C-0399-1000-7-")/1000000</f>
        <v>34.319600000000001</v>
      </c>
      <c r="P6" s="345">
        <f t="shared" ref="P6:P7" si="1">+O6/L6</f>
        <v>2.5401228628524905E-3</v>
      </c>
      <c r="R6" s="123"/>
      <c r="S6" s="93"/>
      <c r="T6" s="93"/>
      <c r="U6" s="93"/>
      <c r="V6" s="93"/>
      <c r="W6" s="93"/>
      <c r="X6" s="93"/>
      <c r="Y6" s="93"/>
    </row>
    <row r="7" spans="1:25" s="120" customFormat="1" ht="33" customHeight="1">
      <c r="A7" s="149"/>
      <c r="B7" s="157"/>
      <c r="C7" s="595" t="s">
        <v>671</v>
      </c>
      <c r="D7" s="595"/>
      <c r="E7" s="595"/>
      <c r="F7" s="595"/>
      <c r="G7" s="595"/>
      <c r="H7" s="595"/>
      <c r="I7" s="595"/>
      <c r="J7" s="595"/>
      <c r="K7" s="595"/>
      <c r="L7" s="359">
        <f>SUM(L6:L6)</f>
        <v>13511</v>
      </c>
      <c r="M7" s="359">
        <f>SUM(M6:M6)</f>
        <v>261.68695000000002</v>
      </c>
      <c r="N7" s="360">
        <f t="shared" si="0"/>
        <v>1.9368436829250241E-2</v>
      </c>
      <c r="O7" s="361">
        <f>SUM(O6:O6)</f>
        <v>34.319600000000001</v>
      </c>
      <c r="P7" s="295">
        <f t="shared" si="1"/>
        <v>2.5401228628524905E-3</v>
      </c>
      <c r="R7" s="138"/>
      <c r="S7" s="138"/>
    </row>
    <row r="8" spans="1:25" s="151" customFormat="1" ht="33.75" customHeight="1">
      <c r="A8" s="510" t="s">
        <v>672</v>
      </c>
      <c r="B8" s="589" t="str">
        <f>+'Ejecución Agregado'!C32</f>
        <v>C-0399-1000-9-53105B</v>
      </c>
      <c r="C8" s="592" t="str">
        <f>+'Ejecución Agregado'!P32</f>
        <v>5. CONVERGENCIA REGIONAL / B. ENTIDADES PÚBLICAS TERRITORIALES Y NACIONALES FORTALECIDAS</v>
      </c>
      <c r="D8" s="593" t="s">
        <v>673</v>
      </c>
      <c r="E8" s="594" t="s">
        <v>674</v>
      </c>
      <c r="F8" s="584">
        <f>+'x proyecto'!F20</f>
        <v>10700</v>
      </c>
      <c r="G8" s="584">
        <f>+'x proyecto'!G20</f>
        <v>4853.2958859999999</v>
      </c>
      <c r="H8" s="584">
        <f>+'x proyecto'!I20</f>
        <v>422.42036899999999</v>
      </c>
      <c r="I8" s="584">
        <v>11</v>
      </c>
      <c r="J8" s="584" t="str">
        <f>+'x proyecto'!E20</f>
        <v xml:space="preserve"> Nación  </v>
      </c>
      <c r="K8" s="384" t="s">
        <v>675</v>
      </c>
      <c r="L8" s="385">
        <f>+GETPIVOTDATA("APR, VIGENTE",'dinamica APR VIGENTE'!$A$3,"DESCRIPCION DEP GASTO","SECRETARIA GENERAL - SG","FORMULA 1","C-0399-1000-9-")/1000000</f>
        <v>2302.6334750000001</v>
      </c>
      <c r="M8" s="385">
        <f>+GETPIVOTDATA("COMPROMISO",'dinamica COMPR'!$A$3,"DESCRIPCION DEP GASTO","SECRETARIA GENERAL - SG","FORMULA 1","C-0399-1000-9-")/1000000</f>
        <v>235.07499999999999</v>
      </c>
      <c r="N8" s="386">
        <f>+M8/L8</f>
        <v>0.1020896302221959</v>
      </c>
      <c r="O8" s="385">
        <f>+GETPIVOTDATA("OBLIGACION",'dinamica Oblig'!$A$3,"DESCRIPCION DEP GASTO","SECRETARIA GENERAL - SG","FORMULA 1","C-0399-1000-9-")/1000000</f>
        <v>25.008333</v>
      </c>
      <c r="P8" s="345">
        <f t="shared" ref="P8:P17" si="2">+O8/L8</f>
        <v>1.0860752816945823E-2</v>
      </c>
      <c r="R8" s="93"/>
      <c r="S8" s="93"/>
      <c r="T8" s="93"/>
      <c r="U8" s="93"/>
      <c r="V8" s="93"/>
      <c r="W8" s="93"/>
      <c r="X8" s="93"/>
      <c r="Y8" s="93"/>
    </row>
    <row r="9" spans="1:25" s="151" customFormat="1" ht="50.4">
      <c r="A9" s="510"/>
      <c r="B9" s="590"/>
      <c r="C9" s="592"/>
      <c r="D9" s="593"/>
      <c r="E9" s="594"/>
      <c r="F9" s="584"/>
      <c r="G9" s="584"/>
      <c r="H9" s="584"/>
      <c r="I9" s="584"/>
      <c r="J9" s="584"/>
      <c r="K9" s="384" t="s">
        <v>670</v>
      </c>
      <c r="L9" s="385">
        <f>+GETPIVOTDATA("APR, VIGENTE",'dinamica APR VIGENTE'!$A$3,"DESCRIPCION DEP GASTO","SUBDIRECCIÓN ADMINISTRATIVA Y RELACIONAMIENTO CON LA CIUDADANÍA-SARC","FORMULA 1","C-0399-1000-9-")/1000000</f>
        <v>1792.31</v>
      </c>
      <c r="M9" s="385">
        <f>+GETPIVOTDATA("COMPROMISO",'dinamica COMPR'!$A$3,"DESCRIPCION DEP GASTO","SUBDIRECCIÓN ADMINISTRATIVA Y RELACIONAMIENTO CON LA CIUDADANÍA-SARC","FORMULA 1","C-0399-1000-9-")/1000000</f>
        <v>1041.0143820000001</v>
      </c>
      <c r="N9" s="386">
        <f t="shared" ref="N9:N15" si="3">+M9/L9</f>
        <v>0.58082272709520122</v>
      </c>
      <c r="O9" s="385">
        <f>+GETPIVOTDATA("OBLIGACION",'dinamica Oblig'!$A$3,"DESCRIPCION DEP GASTO","SUBDIRECCIÓN ADMINISTRATIVA Y RELACIONAMIENTO CON LA CIUDADANÍA-SARC","FORMULA 1","C-0399-1000-9-")/1000000</f>
        <v>112.57725000000001</v>
      </c>
      <c r="P9" s="381">
        <f t="shared" si="2"/>
        <v>6.2811260328849372E-2</v>
      </c>
      <c r="R9" s="93"/>
      <c r="S9" s="93"/>
      <c r="T9" s="93"/>
      <c r="U9" s="93"/>
      <c r="V9" s="93"/>
      <c r="W9" s="93"/>
      <c r="X9" s="93"/>
      <c r="Y9" s="93"/>
    </row>
    <row r="10" spans="1:25" s="151" customFormat="1" ht="30" customHeight="1">
      <c r="A10" s="510"/>
      <c r="B10" s="590"/>
      <c r="C10" s="592"/>
      <c r="D10" s="593"/>
      <c r="E10" s="594"/>
      <c r="F10" s="584"/>
      <c r="G10" s="584"/>
      <c r="H10" s="584"/>
      <c r="I10" s="584"/>
      <c r="J10" s="584"/>
      <c r="K10" s="384" t="s">
        <v>676</v>
      </c>
      <c r="L10" s="385">
        <f>+GETPIVOTDATA("APR, VIGENTE",'dinamica APR VIGENTE'!$A$3,"DESCRIPCION DEP GASTO","SUBDIRECCIÓN DE CONTRATACIÓN - SCT","FORMULA 1","C-0399-1000-9-")/1000000</f>
        <v>559.34720000000004</v>
      </c>
      <c r="M10" s="385">
        <f>+GETPIVOTDATA("COMPROMISO",'dinamica COMPR'!$A$3,"DESCRIPCION DEP GASTO","SUBDIRECCIÓN DE CONTRATACIÓN - SCT","FORMULA 1","C-0399-1000-9-")/1000000</f>
        <v>550.15838199999996</v>
      </c>
      <c r="N10" s="386">
        <f t="shared" si="3"/>
        <v>0.98357224636147267</v>
      </c>
      <c r="O10" s="385">
        <f>+GETPIVOTDATA("OBLIGACION",'dinamica Oblig'!$A$3,"DESCRIPCION DEP GASTO","SUBDIRECCIÓN DE CONTRATACIÓN - SCT","FORMULA 1","C-0399-1000-9-")/1000000</f>
        <v>45.285733</v>
      </c>
      <c r="P10" s="381">
        <f t="shared" si="2"/>
        <v>8.0961758635781131E-2</v>
      </c>
      <c r="R10" s="93"/>
      <c r="S10" s="93"/>
      <c r="T10" s="93"/>
      <c r="U10" s="93"/>
      <c r="V10" s="93"/>
      <c r="W10" s="93"/>
      <c r="X10" s="93"/>
      <c r="Y10" s="93"/>
    </row>
    <row r="11" spans="1:25" s="151" customFormat="1" ht="36.75" customHeight="1">
      <c r="A11" s="510"/>
      <c r="B11" s="590"/>
      <c r="C11" s="592"/>
      <c r="D11" s="593"/>
      <c r="E11" s="594"/>
      <c r="F11" s="584"/>
      <c r="G11" s="584"/>
      <c r="H11" s="584"/>
      <c r="I11" s="584"/>
      <c r="J11" s="584"/>
      <c r="K11" s="384" t="s">
        <v>677</v>
      </c>
      <c r="L11" s="385">
        <f>+GETPIVOTDATA("APR, VIGENTE",'dinamica APR VIGENTE'!$A$3,"DESCRIPCION DEP GASTO","SUBDIRECCIÓN DE GESTIÓN DEL TALENTO HUMANO - SGTH","FORMULA 1","C-0399-1000-9-")/1000000</f>
        <v>1495.395</v>
      </c>
      <c r="M11" s="385">
        <f>+GETPIVOTDATA("COMPROMISO",'dinamica COMPR'!$A$3,"DESCRIPCION DEP GASTO","SUBDIRECCIÓN DE GESTIÓN DEL TALENTO HUMANO - SGTH","FORMULA 1","C-0399-1000-9-")/1000000</f>
        <v>449.34000700000001</v>
      </c>
      <c r="N11" s="386">
        <f t="shared" si="3"/>
        <v>0.30048248589837467</v>
      </c>
      <c r="O11" s="385">
        <f>+GETPIVOTDATA("OBLIGACION",'dinamica Oblig'!$A$3,"DESCRIPCION DEP GASTO","SUBDIRECCIÓN DE GESTIÓN DEL TALENTO HUMANO - SGTH","FORMULA 1","C-0399-1000-9-")/1000000</f>
        <v>17.083328999999999</v>
      </c>
      <c r="P11" s="345">
        <f t="shared" si="2"/>
        <v>1.142395754967751E-2</v>
      </c>
      <c r="R11" s="93"/>
      <c r="S11" s="93"/>
      <c r="T11" s="93"/>
      <c r="U11" s="93"/>
      <c r="V11" s="93"/>
      <c r="W11" s="93"/>
      <c r="X11" s="93"/>
      <c r="Y11" s="93"/>
    </row>
    <row r="12" spans="1:25" s="151" customFormat="1" ht="50.25" customHeight="1">
      <c r="A12" s="510"/>
      <c r="B12" s="590"/>
      <c r="C12" s="592"/>
      <c r="D12" s="593"/>
      <c r="E12" s="594"/>
      <c r="F12" s="584"/>
      <c r="G12" s="584"/>
      <c r="H12" s="584"/>
      <c r="I12" s="584"/>
      <c r="J12" s="584"/>
      <c r="K12" s="384" t="s">
        <v>678</v>
      </c>
      <c r="L12" s="385">
        <f>+GETPIVOTDATA("APR, VIGENTE",'dinamica APR VIGENTE'!$A$3,"DESCRIPCION DEP GASTO","OFICINA ASESORA DE COMUNICACIONES - OAC","FORMULA 1","C-0399-1000-9-")/1000000</f>
        <v>1096.8593249999999</v>
      </c>
      <c r="M12" s="385">
        <f>+GETPIVOTDATA("COMPROMISO",'dinamica COMPR'!$A$3,"DESCRIPCION DEP GASTO","OFICINA ASESORA DE COMUNICACIONES - OAC","FORMULA 1","C-0399-1000-9-")/1000000</f>
        <v>363.93331499999999</v>
      </c>
      <c r="N12" s="386">
        <f t="shared" si="3"/>
        <v>0.33179579797071973</v>
      </c>
      <c r="O12" s="385">
        <f>+GETPIVOTDATA("OBLIGACION",'dinamica Oblig'!$A$3,"DESCRIPCION DEP GASTO","OFICINA ASESORA DE COMUNICACIONES - OAC","FORMULA 1","C-0399-1000-9-")/1000000</f>
        <v>34.453325</v>
      </c>
      <c r="P12" s="381">
        <f t="shared" si="2"/>
        <v>3.1410887626815778E-2</v>
      </c>
      <c r="R12" s="93"/>
      <c r="S12" s="93"/>
      <c r="T12" s="93"/>
      <c r="U12" s="93"/>
      <c r="V12" s="93"/>
      <c r="W12" s="93"/>
      <c r="X12" s="93"/>
      <c r="Y12" s="93"/>
    </row>
    <row r="13" spans="1:25" s="151" customFormat="1" ht="48" customHeight="1">
      <c r="A13" s="510"/>
      <c r="B13" s="590"/>
      <c r="C13" s="592"/>
      <c r="D13" s="593"/>
      <c r="E13" s="594"/>
      <c r="F13" s="387"/>
      <c r="G13" s="387"/>
      <c r="H13" s="387"/>
      <c r="I13" s="584"/>
      <c r="J13" s="584"/>
      <c r="K13" s="384" t="s">
        <v>679</v>
      </c>
      <c r="L13" s="385">
        <f>+GETPIVOTDATA("APR, VIGENTE",'dinamica APR VIGENTE'!$A$3,"DESCRIPCION DEP GASTO","OFICINA ASESORA DE PLANEACIÓN - OAP","FORMULA 1","C-0399-1000-9-")/1000000</f>
        <v>2454.1309999999999</v>
      </c>
      <c r="M13" s="385">
        <f>+GETPIVOTDATA("COMPROMISO",'dinamica COMPR'!$A$3,"DESCRIPCION DEP GASTO","OFICINA ASESORA DE PLANEACIÓN - OAP","FORMULA 1","C-0399-1000-9-")/1000000</f>
        <v>1643.2972</v>
      </c>
      <c r="N13" s="386">
        <f t="shared" si="3"/>
        <v>0.66960451581435554</v>
      </c>
      <c r="O13" s="385">
        <f>+GETPIVOTDATA("OBLIGACION",'dinamica Oblig'!$A$3,"DESCRIPCION DEP GASTO","OFICINA ASESORA DE PLANEACIÓN - OAP","FORMULA 1","C-0399-1000-9-")/1000000</f>
        <v>126.897199</v>
      </c>
      <c r="P13" s="381">
        <f t="shared" ref="P13" si="4">+O13/L13</f>
        <v>5.1707589774140014E-2</v>
      </c>
      <c r="R13" s="93"/>
      <c r="S13" s="93"/>
      <c r="T13" s="93"/>
      <c r="U13" s="93"/>
      <c r="V13" s="93"/>
      <c r="W13" s="93"/>
      <c r="X13" s="93"/>
      <c r="Y13" s="93"/>
    </row>
    <row r="14" spans="1:25" s="151" customFormat="1" ht="44.25" customHeight="1">
      <c r="A14" s="510"/>
      <c r="B14" s="590"/>
      <c r="C14" s="592"/>
      <c r="D14" s="593"/>
      <c r="E14" s="594"/>
      <c r="F14" s="387"/>
      <c r="G14" s="387"/>
      <c r="H14" s="387"/>
      <c r="I14" s="584"/>
      <c r="J14" s="584"/>
      <c r="K14" s="384" t="s">
        <v>680</v>
      </c>
      <c r="L14" s="385">
        <f>+GETPIVOTDATA("APR, VIGENTE",'dinamica APR VIGENTE'!$A$3,"DESCRIPCION DEP GASTO","OFICINA ASESORA JURIDICA - OAJ","FORMULA 1","C-0399-1000-9-")/1000000</f>
        <v>494.74799999999999</v>
      </c>
      <c r="M14" s="385">
        <f>+GETPIVOTDATA("COMPROMISO",'dinamica COMPR'!$A$3,"DESCRIPCION DEP GASTO","OFICINA ASESORA JURIDICA - OAJ","FORMULA 1","C-0399-1000-9-")/1000000</f>
        <v>65.901600000000002</v>
      </c>
      <c r="N14" s="386">
        <f t="shared" si="3"/>
        <v>0.13320235756385068</v>
      </c>
      <c r="O14" s="385">
        <f>+GETPIVOTDATA("OBLIGACION",'dinamica Oblig'!$A$3,"DESCRIPCION DEP GASTO","OFICINA ASESORA JURIDICA - OAJ","FORMULA 1","C-0399-1000-9-")/1000000</f>
        <v>7.3872</v>
      </c>
      <c r="P14" s="381">
        <f t="shared" si="2"/>
        <v>1.493123772102161E-2</v>
      </c>
      <c r="R14" s="93"/>
      <c r="S14" s="93"/>
      <c r="T14" s="93"/>
      <c r="U14" s="93"/>
      <c r="V14" s="93"/>
      <c r="W14" s="93"/>
      <c r="X14" s="93"/>
      <c r="Y14" s="93"/>
    </row>
    <row r="15" spans="1:25" s="151" customFormat="1" ht="47.25" customHeight="1">
      <c r="A15" s="510"/>
      <c r="B15" s="591"/>
      <c r="C15" s="592"/>
      <c r="D15" s="593"/>
      <c r="E15" s="594"/>
      <c r="F15" s="387"/>
      <c r="G15" s="387"/>
      <c r="H15" s="387"/>
      <c r="I15" s="584"/>
      <c r="J15" s="584"/>
      <c r="K15" s="384" t="s">
        <v>681</v>
      </c>
      <c r="L15" s="385">
        <f>+GETPIVOTDATA("APR, VIGENTE",'dinamica APR VIGENTE'!$A$3,"DESCRIPCION DEP GASTO","OFICINA DE CONTROL INTERNO - OCI","FORMULA 1","C-0399-1000-9-")/1000000</f>
        <v>504.57600000000002</v>
      </c>
      <c r="M15" s="385">
        <f>+GETPIVOTDATA("COMPROMISO",'dinamica COMPR'!$A$3,"DESCRIPCION DEP GASTO","OFICINA DE CONTROL INTERNO - OCI","FORMULA 1","C-0399-1000-9-")/1000000</f>
        <v>504.57600000000002</v>
      </c>
      <c r="N15" s="386">
        <f t="shared" si="3"/>
        <v>1</v>
      </c>
      <c r="O15" s="385">
        <f>+GETPIVOTDATA("OBLIGACION",'dinamica Oblig'!$A$3,"DESCRIPCION DEP GASTO","OFICINA DE CONTROL INTERNO - OCI","FORMULA 1","C-0399-1000-9-")/1000000</f>
        <v>53.728000000000002</v>
      </c>
      <c r="P15" s="381">
        <f t="shared" ref="P15" si="5">+O15/L15</f>
        <v>0.10648148148148148</v>
      </c>
      <c r="R15" s="93"/>
      <c r="S15" s="93"/>
      <c r="T15" s="93"/>
      <c r="U15" s="93"/>
      <c r="V15" s="93"/>
      <c r="W15" s="93"/>
      <c r="X15" s="93"/>
      <c r="Y15" s="93"/>
    </row>
    <row r="16" spans="1:25" s="151" customFormat="1" ht="42" customHeight="1">
      <c r="A16" s="510"/>
      <c r="B16" s="159"/>
      <c r="C16" s="588" t="s">
        <v>682</v>
      </c>
      <c r="D16" s="588"/>
      <c r="E16" s="588"/>
      <c r="F16" s="588"/>
      <c r="G16" s="588"/>
      <c r="H16" s="588"/>
      <c r="I16" s="588"/>
      <c r="J16" s="588"/>
      <c r="K16" s="588"/>
      <c r="L16" s="382">
        <f>SUM(L8:L15)</f>
        <v>10700</v>
      </c>
      <c r="M16" s="382">
        <f t="shared" ref="M16:O16" si="6">SUM(M8:M15)</f>
        <v>4853.2958860000008</v>
      </c>
      <c r="N16" s="383">
        <f>+M16/L16</f>
        <v>0.45357905476635524</v>
      </c>
      <c r="O16" s="382">
        <f t="shared" si="6"/>
        <v>422.42036899999999</v>
      </c>
      <c r="P16" s="295">
        <f t="shared" si="2"/>
        <v>3.9478539158878501E-2</v>
      </c>
      <c r="R16" s="93"/>
      <c r="S16" s="93"/>
      <c r="T16" s="93"/>
      <c r="U16" s="93"/>
      <c r="V16" s="93"/>
      <c r="W16" s="93"/>
      <c r="X16" s="93"/>
      <c r="Y16" s="93"/>
    </row>
    <row r="17" spans="1:19" ht="24.75" customHeight="1">
      <c r="A17" s="275"/>
      <c r="B17" s="275"/>
      <c r="C17" s="585" t="s">
        <v>683</v>
      </c>
      <c r="D17" s="586"/>
      <c r="E17" s="586"/>
      <c r="F17" s="586"/>
      <c r="G17" s="586"/>
      <c r="H17" s="586"/>
      <c r="I17" s="586"/>
      <c r="J17" s="586"/>
      <c r="K17" s="587"/>
      <c r="L17" s="246">
        <f>+L7+L16</f>
        <v>24211</v>
      </c>
      <c r="M17" s="246">
        <f>+M7+M16</f>
        <v>5114.982836000001</v>
      </c>
      <c r="N17" s="156">
        <f t="shared" ref="N17" si="7">+M17/L17</f>
        <v>0.21126689669984722</v>
      </c>
      <c r="O17" s="246">
        <f>+O7+O16</f>
        <v>456.73996899999997</v>
      </c>
      <c r="P17" s="295">
        <f t="shared" si="2"/>
        <v>1.8864977448267317E-2</v>
      </c>
      <c r="Q17" s="151"/>
      <c r="R17" s="152"/>
      <c r="S17" s="152"/>
    </row>
    <row r="18" spans="1:19">
      <c r="L18" s="240"/>
      <c r="M18" s="240"/>
      <c r="O18" s="240"/>
    </row>
    <row r="19" spans="1:19">
      <c r="L19" s="240"/>
      <c r="M19" s="240"/>
      <c r="O19" s="240"/>
    </row>
  </sheetData>
  <sortState ref="R6:T12">
    <sortCondition ref="R6"/>
  </sortState>
  <mergeCells count="14">
    <mergeCell ref="I5:J5"/>
    <mergeCell ref="F8:F12"/>
    <mergeCell ref="G8:G12"/>
    <mergeCell ref="A8:A16"/>
    <mergeCell ref="C17:K17"/>
    <mergeCell ref="C16:K16"/>
    <mergeCell ref="H8:H12"/>
    <mergeCell ref="B8:B15"/>
    <mergeCell ref="C8:C15"/>
    <mergeCell ref="D8:D15"/>
    <mergeCell ref="E8:E15"/>
    <mergeCell ref="I8:I15"/>
    <mergeCell ref="J8:J15"/>
    <mergeCell ref="C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Ejecución Agregado</vt:lpstr>
      <vt:lpstr>Inf x Dependencia</vt:lpstr>
      <vt:lpstr>Ejec</vt:lpstr>
      <vt:lpstr>x proyecto</vt:lpstr>
      <vt:lpstr>SGDDT</vt:lpstr>
      <vt:lpstr>SGISE</vt:lpstr>
      <vt:lpstr>SGPDN</vt:lpstr>
      <vt:lpstr>DG</vt:lpstr>
      <vt:lpstr>SG</vt:lpstr>
      <vt:lpstr>depen inversi</vt:lpstr>
      <vt:lpstr>dinamica APR VIGENTE</vt:lpstr>
      <vt:lpstr>dinamica COMPR</vt:lpstr>
      <vt:lpstr>dinamica Oblig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VIVIAN</dc:creator>
  <cp:keywords/>
  <dc:description/>
  <cp:lastModifiedBy>Hector Hernan Salinas Soto</cp:lastModifiedBy>
  <cp:revision/>
  <dcterms:created xsi:type="dcterms:W3CDTF">2023-08-18T13:05:55Z</dcterms:created>
  <dcterms:modified xsi:type="dcterms:W3CDTF">2024-04-11T19:48:50Z</dcterms:modified>
  <cp:category/>
  <cp:contentStatus/>
</cp:coreProperties>
</file>